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" r:id="rId1"/>
    <sheet name="14278836" sheetId="28" r:id="rId2"/>
    <sheet name="14277629" sheetId="29" r:id="rId3"/>
    <sheet name="14271949" sheetId="33" r:id="rId4"/>
    <sheet name="14264488" sheetId="37" r:id="rId5"/>
    <sheet name="14236763" sheetId="39" r:id="rId6"/>
    <sheet name="14236745" sheetId="40" r:id="rId7"/>
    <sheet name="14221323" sheetId="42" r:id="rId8"/>
    <sheet name="14210606" sheetId="44" r:id="rId9"/>
    <sheet name="14203642" sheetId="45" r:id="rId10"/>
  </sheets>
  <definedNames>
    <definedName name="_xlnm._FilterDatabase" localSheetId="0" hidden="1">Summary!$A$1:$F$13</definedName>
  </definedNames>
  <calcPr calcId="191029"/>
</workbook>
</file>

<file path=xl/calcChain.xml><?xml version="1.0" encoding="utf-8"?>
<calcChain xmlns="http://schemas.openxmlformats.org/spreadsheetml/2006/main">
  <c r="F11" i="1" l="1"/>
  <c r="E11" i="1"/>
  <c r="D11" i="1"/>
  <c r="T80" i="45"/>
  <c r="T79" i="45"/>
  <c r="T78" i="45"/>
  <c r="T77" i="45"/>
  <c r="T76" i="45"/>
  <c r="T75" i="45"/>
  <c r="T74" i="45"/>
  <c r="T73" i="45"/>
  <c r="T72" i="45"/>
  <c r="T71" i="45"/>
  <c r="T70" i="45"/>
  <c r="T69" i="45"/>
  <c r="T68" i="45"/>
  <c r="T67" i="45"/>
  <c r="T66" i="45"/>
  <c r="T65" i="45"/>
  <c r="T64" i="45"/>
  <c r="T63" i="45"/>
  <c r="T62" i="45"/>
  <c r="T61" i="45"/>
  <c r="T60" i="45"/>
  <c r="T59" i="45"/>
  <c r="T58" i="45"/>
  <c r="T57" i="45"/>
  <c r="T56" i="45"/>
  <c r="T55" i="45"/>
  <c r="T54" i="45"/>
  <c r="T53" i="45"/>
  <c r="T52" i="45"/>
  <c r="T51" i="45"/>
  <c r="T50" i="45"/>
  <c r="T49" i="45"/>
  <c r="T48" i="45"/>
  <c r="T47" i="45"/>
  <c r="T46" i="45"/>
  <c r="T45" i="45"/>
  <c r="T44" i="45"/>
  <c r="T43" i="45"/>
  <c r="T42" i="45"/>
  <c r="T41" i="45"/>
  <c r="T40" i="45"/>
  <c r="T39" i="45"/>
  <c r="T38" i="45"/>
  <c r="T37" i="45"/>
  <c r="T36" i="45"/>
  <c r="T35" i="45"/>
  <c r="T34" i="45"/>
  <c r="T33" i="45"/>
  <c r="T32" i="45"/>
  <c r="T31" i="45"/>
  <c r="T30" i="45"/>
  <c r="T29" i="45"/>
  <c r="T28" i="45"/>
  <c r="T27" i="45"/>
  <c r="T26" i="45"/>
  <c r="T25" i="45"/>
  <c r="T24" i="45"/>
  <c r="T23" i="45"/>
  <c r="T22" i="45"/>
  <c r="T21" i="45"/>
  <c r="T20" i="45"/>
  <c r="T19" i="45"/>
  <c r="T18" i="45"/>
  <c r="T17" i="45"/>
  <c r="T16" i="45"/>
  <c r="T15" i="45"/>
  <c r="T14" i="45"/>
  <c r="T13" i="45"/>
  <c r="T12" i="45"/>
  <c r="T11" i="45"/>
  <c r="T10" i="45"/>
  <c r="T9" i="45"/>
  <c r="T8" i="45"/>
  <c r="T7" i="45"/>
  <c r="T6" i="45"/>
  <c r="T5" i="45"/>
  <c r="T4" i="45"/>
  <c r="T3" i="45"/>
  <c r="T2" i="45"/>
  <c r="T415" i="44"/>
  <c r="T414" i="44"/>
  <c r="T413" i="44"/>
  <c r="T412" i="44"/>
  <c r="T411" i="44"/>
  <c r="T410" i="44"/>
  <c r="T409" i="44"/>
  <c r="T408" i="44"/>
  <c r="T407" i="44"/>
  <c r="T406" i="44"/>
  <c r="T405" i="44"/>
  <c r="T404" i="44"/>
  <c r="T403" i="44"/>
  <c r="T402" i="44"/>
  <c r="T401" i="44"/>
  <c r="T400" i="44"/>
  <c r="T399" i="44"/>
  <c r="T398" i="44"/>
  <c r="T397" i="44"/>
  <c r="T396" i="44"/>
  <c r="T395" i="44"/>
  <c r="T394" i="44"/>
  <c r="T393" i="44"/>
  <c r="T392" i="44"/>
  <c r="T391" i="44"/>
  <c r="T390" i="44"/>
  <c r="T389" i="44"/>
  <c r="T388" i="44"/>
  <c r="T387" i="44"/>
  <c r="T386" i="44"/>
  <c r="T385" i="44"/>
  <c r="T384" i="44"/>
  <c r="T383" i="44"/>
  <c r="T382" i="44"/>
  <c r="T381" i="44"/>
  <c r="T380" i="44"/>
  <c r="T379" i="44"/>
  <c r="T378" i="44"/>
  <c r="T377" i="44"/>
  <c r="T376" i="44"/>
  <c r="T375" i="44"/>
  <c r="T374" i="44"/>
  <c r="T372" i="44"/>
  <c r="T371" i="44"/>
  <c r="T370" i="44"/>
  <c r="T369" i="44"/>
  <c r="T368" i="44"/>
  <c r="T367" i="44"/>
  <c r="T366" i="44"/>
  <c r="T365" i="44"/>
  <c r="T364" i="44"/>
  <c r="T363" i="44"/>
  <c r="T362" i="44"/>
  <c r="T361" i="44"/>
  <c r="T360" i="44"/>
  <c r="T359" i="44"/>
  <c r="T358" i="44"/>
  <c r="T357" i="44"/>
  <c r="T356" i="44"/>
  <c r="T355" i="44"/>
  <c r="T354" i="44"/>
  <c r="T352" i="44"/>
  <c r="T351" i="44"/>
  <c r="T350" i="44"/>
  <c r="T349" i="44"/>
  <c r="T348" i="44"/>
  <c r="T347" i="44"/>
  <c r="T346" i="44"/>
  <c r="T345" i="44"/>
  <c r="T344" i="44"/>
  <c r="T343" i="44"/>
  <c r="T342" i="44"/>
  <c r="T341" i="44"/>
  <c r="T340" i="44"/>
  <c r="T339" i="44"/>
  <c r="T338" i="44"/>
  <c r="T337" i="44"/>
  <c r="T336" i="44"/>
  <c r="T335" i="44"/>
  <c r="T334" i="44"/>
  <c r="T333" i="44"/>
  <c r="T332" i="44"/>
  <c r="T331" i="44"/>
  <c r="T330" i="44"/>
  <c r="T329" i="44"/>
  <c r="T328" i="44"/>
  <c r="T327" i="44"/>
  <c r="T326" i="44"/>
  <c r="T325" i="44"/>
  <c r="T324" i="44"/>
  <c r="T323" i="44"/>
  <c r="T322" i="44"/>
  <c r="T321" i="44"/>
  <c r="T320" i="44"/>
  <c r="T318" i="44"/>
  <c r="T317" i="44"/>
  <c r="T316" i="44"/>
  <c r="T315" i="44"/>
  <c r="T314" i="44"/>
  <c r="T313" i="44"/>
  <c r="T312" i="44"/>
  <c r="T311" i="44"/>
  <c r="T310" i="44"/>
  <c r="T309" i="44"/>
  <c r="T308" i="44"/>
  <c r="T307" i="44"/>
  <c r="T306" i="44"/>
  <c r="T304" i="44"/>
  <c r="T303" i="44"/>
  <c r="T302" i="44"/>
  <c r="T301" i="44"/>
  <c r="T300" i="44"/>
  <c r="T299" i="44"/>
  <c r="T298" i="44"/>
  <c r="T297" i="44"/>
  <c r="T296" i="44"/>
  <c r="T295" i="44"/>
  <c r="T294" i="44"/>
  <c r="T293" i="44"/>
  <c r="T292" i="44"/>
  <c r="T291" i="44"/>
  <c r="T290" i="44"/>
  <c r="T289" i="44"/>
  <c r="T288" i="44"/>
  <c r="T287" i="44"/>
  <c r="T286" i="44"/>
  <c r="T285" i="44"/>
  <c r="T284" i="44"/>
  <c r="T283" i="44"/>
  <c r="T282" i="44"/>
  <c r="T281" i="44"/>
  <c r="T280" i="44"/>
  <c r="T279" i="44"/>
  <c r="T278" i="44"/>
  <c r="T276" i="44"/>
  <c r="T275" i="44"/>
  <c r="T274" i="44"/>
  <c r="T273" i="44"/>
  <c r="T272" i="44"/>
  <c r="T271" i="44"/>
  <c r="T270" i="44"/>
  <c r="T269" i="44"/>
  <c r="T268" i="44"/>
  <c r="T267" i="44"/>
  <c r="T266" i="44"/>
  <c r="T265" i="44"/>
  <c r="T264" i="44"/>
  <c r="T263" i="44"/>
  <c r="T262" i="44"/>
  <c r="T261" i="44"/>
  <c r="T260" i="44"/>
  <c r="T259" i="44"/>
  <c r="T258" i="44"/>
  <c r="T256" i="44"/>
  <c r="T255" i="44"/>
  <c r="T254" i="44"/>
  <c r="T253" i="44"/>
  <c r="T252" i="44"/>
  <c r="T251" i="44"/>
  <c r="T250" i="44"/>
  <c r="T249" i="44"/>
  <c r="T248" i="44"/>
  <c r="T247" i="44"/>
  <c r="T246" i="44"/>
  <c r="T245" i="44"/>
  <c r="T244" i="44"/>
  <c r="T243" i="44"/>
  <c r="T242" i="44"/>
  <c r="T241" i="44"/>
  <c r="T240" i="44"/>
  <c r="T239" i="44"/>
  <c r="T238" i="44"/>
  <c r="T237" i="44"/>
  <c r="T236" i="44"/>
  <c r="T235" i="44"/>
  <c r="T234" i="44"/>
  <c r="T233" i="44"/>
  <c r="T232" i="44"/>
  <c r="T231" i="44"/>
  <c r="T230" i="44"/>
  <c r="T229" i="44"/>
  <c r="T228" i="44"/>
  <c r="T227" i="44"/>
  <c r="T226" i="44"/>
  <c r="T225" i="44"/>
  <c r="T224" i="44"/>
  <c r="T223" i="44"/>
  <c r="T222" i="44"/>
  <c r="T221" i="44"/>
  <c r="T220" i="44"/>
  <c r="T219" i="44"/>
  <c r="T218" i="44"/>
  <c r="T217" i="44"/>
  <c r="T216" i="44"/>
  <c r="T215" i="44"/>
  <c r="T214" i="44"/>
  <c r="T213" i="44"/>
  <c r="T212" i="44"/>
  <c r="T211" i="44"/>
  <c r="T210" i="44"/>
  <c r="T209" i="44"/>
  <c r="T208" i="44"/>
  <c r="T207" i="44"/>
  <c r="T206" i="44"/>
  <c r="T205" i="44"/>
  <c r="T204" i="44"/>
  <c r="T203" i="44"/>
  <c r="T202" i="44"/>
  <c r="T201" i="44"/>
  <c r="T200" i="44"/>
  <c r="T199" i="44"/>
  <c r="T198" i="44"/>
  <c r="T197" i="44"/>
  <c r="T196" i="44"/>
  <c r="T195" i="44"/>
  <c r="T194" i="44"/>
  <c r="T193" i="44"/>
  <c r="T192" i="44"/>
  <c r="T191" i="44"/>
  <c r="T190" i="44"/>
  <c r="T189" i="44"/>
  <c r="T188" i="44"/>
  <c r="T187" i="44"/>
  <c r="T186" i="44"/>
  <c r="T185" i="44"/>
  <c r="T184" i="44"/>
  <c r="T183" i="44"/>
  <c r="T182" i="44"/>
  <c r="T181" i="44"/>
  <c r="T180" i="44"/>
  <c r="T179" i="44"/>
  <c r="T178" i="44"/>
  <c r="T177" i="44"/>
  <c r="T176" i="44"/>
  <c r="T175" i="44"/>
  <c r="T174" i="44"/>
  <c r="T173" i="44"/>
  <c r="T172" i="44"/>
  <c r="T171" i="44"/>
  <c r="T169" i="44"/>
  <c r="T167" i="44"/>
  <c r="T166" i="44"/>
  <c r="T165" i="44"/>
  <c r="T164" i="44"/>
  <c r="T163" i="44"/>
  <c r="T162" i="44"/>
  <c r="T161" i="44"/>
  <c r="T160" i="44"/>
  <c r="T159" i="44"/>
  <c r="T158" i="44"/>
  <c r="T157" i="44"/>
  <c r="T156" i="44"/>
  <c r="T155" i="44"/>
  <c r="T154" i="44"/>
  <c r="T153" i="44"/>
  <c r="T152" i="44"/>
  <c r="T151" i="44"/>
  <c r="T150" i="44"/>
  <c r="T149" i="44"/>
  <c r="T148" i="44"/>
  <c r="T147" i="44"/>
  <c r="T146" i="44"/>
  <c r="T145" i="44"/>
  <c r="T144" i="44"/>
  <c r="T143" i="44"/>
  <c r="T142" i="44"/>
  <c r="T141" i="44"/>
  <c r="T140" i="44"/>
  <c r="T139" i="44"/>
  <c r="T138" i="44"/>
  <c r="T137" i="44"/>
  <c r="T136" i="44"/>
  <c r="T135" i="44"/>
  <c r="T134" i="44"/>
  <c r="T132" i="44"/>
  <c r="T131" i="44"/>
  <c r="T130" i="44"/>
  <c r="T129" i="44"/>
  <c r="T128" i="44"/>
  <c r="T127" i="44"/>
  <c r="T126" i="44"/>
  <c r="T124" i="44"/>
  <c r="T123" i="44"/>
  <c r="T120" i="44"/>
  <c r="T119" i="44"/>
  <c r="T118" i="44"/>
  <c r="T117" i="44"/>
  <c r="T116" i="44"/>
  <c r="T115" i="44"/>
  <c r="T114" i="44"/>
  <c r="T113" i="44"/>
  <c r="T112" i="44"/>
  <c r="T111" i="44"/>
  <c r="T110" i="44"/>
  <c r="T109" i="44"/>
  <c r="T108" i="44"/>
  <c r="T107" i="44"/>
  <c r="T106" i="44"/>
  <c r="T105" i="44"/>
  <c r="T104" i="44"/>
  <c r="T103" i="44"/>
  <c r="T102" i="44"/>
  <c r="T101" i="44"/>
  <c r="T100" i="44"/>
  <c r="T99" i="44"/>
  <c r="T98" i="44"/>
  <c r="T97" i="44"/>
  <c r="T96" i="44"/>
  <c r="T95" i="44"/>
  <c r="T94" i="44"/>
  <c r="T93" i="44"/>
  <c r="T92" i="44"/>
  <c r="T91" i="44"/>
  <c r="T90" i="44"/>
  <c r="T89" i="44"/>
  <c r="T88" i="44"/>
  <c r="T87" i="44"/>
  <c r="T86" i="44"/>
  <c r="T85" i="44"/>
  <c r="T84" i="44"/>
  <c r="T83" i="44"/>
  <c r="T82" i="44"/>
  <c r="T81" i="44"/>
  <c r="T80" i="44"/>
  <c r="T79" i="44"/>
  <c r="T78" i="44"/>
  <c r="T76" i="44"/>
  <c r="T75" i="44"/>
  <c r="T74" i="44"/>
  <c r="T73" i="44"/>
  <c r="T72" i="44"/>
  <c r="T71" i="44"/>
  <c r="T70" i="44"/>
  <c r="T69" i="44"/>
  <c r="T68" i="44"/>
  <c r="T67" i="44"/>
  <c r="T66" i="44"/>
  <c r="T65" i="44"/>
  <c r="T64" i="44"/>
  <c r="T63" i="44"/>
  <c r="T62" i="44"/>
  <c r="T61" i="44"/>
  <c r="T60" i="44"/>
  <c r="T59" i="44"/>
  <c r="T58" i="44"/>
  <c r="T57" i="44"/>
  <c r="T56" i="44"/>
  <c r="T55" i="44"/>
  <c r="T54" i="44"/>
  <c r="T53" i="44"/>
  <c r="T52" i="44"/>
  <c r="T51" i="44"/>
  <c r="T50" i="44"/>
  <c r="T49" i="44"/>
  <c r="T48" i="44"/>
  <c r="T47" i="44"/>
  <c r="T46" i="44"/>
  <c r="T45" i="44"/>
  <c r="T44" i="44"/>
  <c r="T43" i="44"/>
  <c r="T42" i="44"/>
  <c r="T41" i="44"/>
  <c r="T40" i="44"/>
  <c r="T39" i="44"/>
  <c r="T38" i="44"/>
  <c r="T37" i="44"/>
  <c r="T36" i="44"/>
  <c r="T35" i="44"/>
  <c r="T34" i="44"/>
  <c r="T33" i="44"/>
  <c r="T32" i="44"/>
  <c r="T31" i="44"/>
  <c r="T30" i="44"/>
  <c r="T29" i="44"/>
  <c r="T28" i="44"/>
  <c r="T27" i="44"/>
  <c r="T26" i="44"/>
  <c r="T25" i="44"/>
  <c r="T24" i="44"/>
  <c r="T23" i="44"/>
  <c r="T22" i="44"/>
  <c r="T21" i="44"/>
  <c r="T20" i="44"/>
  <c r="T17" i="44"/>
  <c r="T16" i="44"/>
  <c r="T15" i="44"/>
  <c r="T14" i="44"/>
  <c r="T13" i="44"/>
  <c r="T12" i="44"/>
  <c r="T11" i="44"/>
  <c r="T10" i="44"/>
  <c r="T9" i="44"/>
  <c r="T8" i="44"/>
  <c r="T7" i="44"/>
  <c r="T6" i="44"/>
  <c r="T5" i="44"/>
  <c r="T4" i="44"/>
  <c r="T3" i="44"/>
  <c r="T2" i="44"/>
  <c r="T256" i="42"/>
  <c r="T255" i="42"/>
  <c r="T254" i="42"/>
  <c r="T253" i="42"/>
  <c r="T252" i="42"/>
  <c r="T251" i="42"/>
  <c r="T250" i="42"/>
  <c r="T249" i="42"/>
  <c r="T248" i="42"/>
  <c r="T247" i="42"/>
  <c r="T246" i="42"/>
  <c r="T245" i="42"/>
  <c r="T244" i="42"/>
  <c r="T243" i="42"/>
  <c r="T242" i="42"/>
  <c r="T241" i="42"/>
  <c r="T240" i="42"/>
  <c r="T239" i="42"/>
  <c r="T238" i="42"/>
  <c r="T237" i="42"/>
  <c r="T235" i="42"/>
  <c r="T234" i="42"/>
  <c r="T233" i="42"/>
  <c r="T232" i="42"/>
  <c r="T231" i="42"/>
  <c r="T230" i="42"/>
  <c r="T229" i="42"/>
  <c r="T226" i="42"/>
  <c r="T225" i="42"/>
  <c r="T224" i="42"/>
  <c r="T223" i="42"/>
  <c r="T222" i="42"/>
  <c r="T221" i="42"/>
  <c r="T220" i="42"/>
  <c r="T219" i="42"/>
  <c r="T218" i="42"/>
  <c r="T217" i="42"/>
  <c r="T216" i="42"/>
  <c r="T215" i="42"/>
  <c r="T214" i="42"/>
  <c r="T213" i="42"/>
  <c r="T212" i="42"/>
  <c r="T211" i="42"/>
  <c r="T210" i="42"/>
  <c r="T209" i="42"/>
  <c r="T208" i="42"/>
  <c r="T207" i="42"/>
  <c r="T206" i="42"/>
  <c r="T205" i="42"/>
  <c r="T204" i="42"/>
  <c r="T203" i="42"/>
  <c r="T202" i="42"/>
  <c r="T198" i="42"/>
  <c r="T197" i="42"/>
  <c r="T196" i="42"/>
  <c r="T195" i="42"/>
  <c r="T194" i="42"/>
  <c r="T193" i="42"/>
  <c r="T192" i="42"/>
  <c r="T191" i="42"/>
  <c r="T190" i="42"/>
  <c r="T189" i="42"/>
  <c r="T188" i="42"/>
  <c r="T187" i="42"/>
  <c r="T186" i="42"/>
  <c r="T185" i="42"/>
  <c r="T184" i="42"/>
  <c r="T183" i="42"/>
  <c r="T182" i="42"/>
  <c r="T181" i="42"/>
  <c r="T179" i="42"/>
  <c r="T178" i="42"/>
  <c r="T177" i="42"/>
  <c r="T176" i="42"/>
  <c r="T175" i="42"/>
  <c r="T174" i="42"/>
  <c r="T173" i="42"/>
  <c r="T172" i="42"/>
  <c r="T171" i="42"/>
  <c r="T170" i="42"/>
  <c r="T169" i="42"/>
  <c r="T168" i="42"/>
  <c r="T165" i="42"/>
  <c r="T164" i="42"/>
  <c r="T163" i="42"/>
  <c r="T162" i="42"/>
  <c r="T161" i="42"/>
  <c r="T160" i="42"/>
  <c r="T159" i="42"/>
  <c r="T158" i="42"/>
  <c r="T157" i="42"/>
  <c r="T156" i="42"/>
  <c r="T155" i="42"/>
  <c r="T154" i="42"/>
  <c r="T153" i="42"/>
  <c r="T152" i="42"/>
  <c r="T151" i="42"/>
  <c r="T150" i="42"/>
  <c r="T149" i="42"/>
  <c r="T148" i="42"/>
  <c r="T147" i="42"/>
  <c r="T146" i="42"/>
  <c r="T145" i="42"/>
  <c r="T144" i="42"/>
  <c r="T143" i="42"/>
  <c r="T142" i="42"/>
  <c r="T141" i="42"/>
  <c r="T140" i="42"/>
  <c r="T139" i="42"/>
  <c r="T138" i="42"/>
  <c r="T137" i="42"/>
  <c r="T136" i="42"/>
  <c r="T135" i="42"/>
  <c r="T134" i="42"/>
  <c r="T133" i="42"/>
  <c r="T132" i="42"/>
  <c r="T130" i="42"/>
  <c r="T129" i="42"/>
  <c r="T128" i="42"/>
  <c r="T127" i="42"/>
  <c r="T126" i="42"/>
  <c r="T125" i="42"/>
  <c r="T124" i="42"/>
  <c r="T123" i="42"/>
  <c r="T122" i="42"/>
  <c r="T121" i="42"/>
  <c r="T120" i="42"/>
  <c r="T119" i="42"/>
  <c r="T118" i="42"/>
  <c r="T117" i="42"/>
  <c r="T116" i="42"/>
  <c r="T115" i="42"/>
  <c r="T114" i="42"/>
  <c r="T113" i="42"/>
  <c r="T112" i="42"/>
  <c r="T111" i="42"/>
  <c r="T110" i="42"/>
  <c r="T109" i="42"/>
  <c r="T108" i="42"/>
  <c r="T107" i="42"/>
  <c r="T106" i="42"/>
  <c r="T105" i="42"/>
  <c r="T104" i="42"/>
  <c r="T102" i="42"/>
  <c r="T101" i="42"/>
  <c r="T100" i="42"/>
  <c r="T99" i="42"/>
  <c r="T98" i="42"/>
  <c r="T97" i="42"/>
  <c r="T96" i="42"/>
  <c r="T95" i="42"/>
  <c r="T94" i="42"/>
  <c r="T93" i="42"/>
  <c r="T92" i="42"/>
  <c r="T91" i="42"/>
  <c r="T90" i="42"/>
  <c r="T89" i="42"/>
  <c r="T88" i="42"/>
  <c r="T87" i="42"/>
  <c r="T86" i="42"/>
  <c r="T85" i="42"/>
  <c r="T84" i="42"/>
  <c r="T83" i="42"/>
  <c r="T82" i="42"/>
  <c r="T81" i="42"/>
  <c r="T80" i="42"/>
  <c r="T79" i="42"/>
  <c r="T78" i="42"/>
  <c r="T77" i="42"/>
  <c r="T76" i="42"/>
  <c r="T75" i="42"/>
  <c r="T74" i="42"/>
  <c r="T73" i="42"/>
  <c r="T72" i="42"/>
  <c r="T69" i="42"/>
  <c r="T68" i="42"/>
  <c r="T67" i="42"/>
  <c r="T66" i="42"/>
  <c r="T65" i="42"/>
  <c r="T64" i="42"/>
  <c r="T63" i="42"/>
  <c r="T62" i="42"/>
  <c r="T61" i="42"/>
  <c r="T60" i="42"/>
  <c r="T59" i="42"/>
  <c r="T58" i="42"/>
  <c r="T57" i="42"/>
  <c r="T56" i="42"/>
  <c r="T55" i="42"/>
  <c r="T54" i="42"/>
  <c r="T53" i="42"/>
  <c r="T52" i="42"/>
  <c r="T51" i="42"/>
  <c r="T50" i="42"/>
  <c r="T49" i="42"/>
  <c r="T48" i="42"/>
  <c r="T47" i="42"/>
  <c r="T46" i="42"/>
  <c r="T45" i="42"/>
  <c r="T44" i="42"/>
  <c r="T43" i="42"/>
  <c r="T42" i="42"/>
  <c r="T41" i="42"/>
  <c r="T40" i="42"/>
  <c r="T39" i="42"/>
  <c r="T38" i="42"/>
  <c r="T37" i="42"/>
  <c r="T36" i="42"/>
  <c r="T35" i="42"/>
  <c r="T34" i="42"/>
  <c r="T33" i="42"/>
  <c r="T32" i="42"/>
  <c r="T31" i="42"/>
  <c r="T30" i="42"/>
  <c r="T29" i="42"/>
  <c r="T28" i="42"/>
  <c r="T27" i="42"/>
  <c r="T26" i="42"/>
  <c r="T25" i="42"/>
  <c r="T24" i="42"/>
  <c r="T23" i="42"/>
  <c r="T22" i="42"/>
  <c r="T20" i="42"/>
  <c r="T19" i="42"/>
  <c r="T18" i="42"/>
  <c r="T17" i="42"/>
  <c r="T16" i="42"/>
  <c r="T15" i="42"/>
  <c r="T14" i="42"/>
  <c r="T13" i="42"/>
  <c r="T12" i="42"/>
  <c r="T11" i="42"/>
  <c r="T10" i="42"/>
  <c r="T9" i="42"/>
  <c r="T8" i="42"/>
  <c r="T7" i="42"/>
  <c r="T6" i="42"/>
  <c r="T4" i="42"/>
  <c r="T3" i="42"/>
  <c r="T2" i="42"/>
  <c r="T209" i="40"/>
  <c r="T208" i="40"/>
  <c r="T207" i="40"/>
  <c r="T206" i="40"/>
  <c r="T205" i="40"/>
  <c r="T204" i="40"/>
  <c r="T203" i="40"/>
  <c r="T202" i="40"/>
  <c r="T201" i="40"/>
  <c r="T200" i="40"/>
  <c r="T199" i="40"/>
  <c r="T198" i="40"/>
  <c r="T197" i="40"/>
  <c r="T196" i="40"/>
  <c r="T195" i="40"/>
  <c r="T194" i="40"/>
  <c r="T193" i="40"/>
  <c r="T192" i="40"/>
  <c r="T191" i="40"/>
  <c r="T190" i="40"/>
  <c r="T189" i="40"/>
  <c r="T188" i="40"/>
  <c r="T187" i="40"/>
  <c r="T186" i="40"/>
  <c r="T185" i="40"/>
  <c r="T184" i="40"/>
  <c r="T183" i="40"/>
  <c r="T182" i="40"/>
  <c r="T181" i="40"/>
  <c r="T180" i="40"/>
  <c r="T179" i="40"/>
  <c r="T178" i="40"/>
  <c r="T177" i="40"/>
  <c r="T176" i="40"/>
  <c r="T175" i="40"/>
  <c r="T174" i="40"/>
  <c r="T172" i="40"/>
  <c r="T171" i="40"/>
  <c r="T170" i="40"/>
  <c r="T169" i="40"/>
  <c r="T168" i="40"/>
  <c r="T167" i="40"/>
  <c r="T166" i="40"/>
  <c r="T165" i="40"/>
  <c r="T164" i="40"/>
  <c r="T163" i="40"/>
  <c r="T162" i="40"/>
  <c r="T161" i="40"/>
  <c r="T160" i="40"/>
  <c r="T159" i="40"/>
  <c r="T158" i="40"/>
  <c r="T157" i="40"/>
  <c r="T156" i="40"/>
  <c r="T155" i="40"/>
  <c r="T154" i="40"/>
  <c r="T153" i="40"/>
  <c r="T152" i="40"/>
  <c r="T151" i="40"/>
  <c r="T150" i="40"/>
  <c r="T149" i="40"/>
  <c r="T148" i="40"/>
  <c r="T147" i="40"/>
  <c r="T146" i="40"/>
  <c r="T145" i="40"/>
  <c r="T144" i="40"/>
  <c r="T143" i="40"/>
  <c r="T142" i="40"/>
  <c r="T141" i="40"/>
  <c r="T140" i="40"/>
  <c r="T139" i="40"/>
  <c r="T138" i="40"/>
  <c r="T137" i="40"/>
  <c r="T136" i="40"/>
  <c r="T135" i="40"/>
  <c r="T134" i="40"/>
  <c r="T133" i="40"/>
  <c r="T132" i="40"/>
  <c r="T131" i="40"/>
  <c r="T130" i="40"/>
  <c r="T129" i="40"/>
  <c r="T128" i="40"/>
  <c r="T127" i="40"/>
  <c r="T126" i="40"/>
  <c r="T125" i="40"/>
  <c r="T124" i="40"/>
  <c r="T123" i="40"/>
  <c r="T122" i="40"/>
  <c r="T121" i="40"/>
  <c r="T120" i="40"/>
  <c r="T119" i="40"/>
  <c r="T118" i="40"/>
  <c r="T117" i="40"/>
  <c r="T116" i="40"/>
  <c r="T115" i="40"/>
  <c r="T114" i="40"/>
  <c r="T113" i="40"/>
  <c r="T112" i="40"/>
  <c r="T111" i="40"/>
  <c r="T110" i="40"/>
  <c r="T109" i="40"/>
  <c r="T108" i="40"/>
  <c r="T107" i="40"/>
  <c r="T106" i="40"/>
  <c r="T105" i="40"/>
  <c r="T104" i="40"/>
  <c r="T103" i="40"/>
  <c r="T102" i="40"/>
  <c r="T101" i="40"/>
  <c r="T100" i="40"/>
  <c r="T99" i="40"/>
  <c r="T98" i="40"/>
  <c r="T97" i="40"/>
  <c r="T96" i="40"/>
  <c r="T95" i="40"/>
  <c r="T92" i="40"/>
  <c r="T91" i="40"/>
  <c r="T90" i="40"/>
  <c r="T89" i="40"/>
  <c r="T88" i="40"/>
  <c r="T87" i="40"/>
  <c r="T86" i="40"/>
  <c r="T85" i="40"/>
  <c r="T84" i="40"/>
  <c r="T83" i="40"/>
  <c r="T82" i="40"/>
  <c r="T81" i="40"/>
  <c r="T80" i="40"/>
  <c r="T79" i="40"/>
  <c r="T78" i="40"/>
  <c r="T77" i="40"/>
  <c r="T76" i="40"/>
  <c r="T75" i="40"/>
  <c r="T74" i="40"/>
  <c r="T73" i="40"/>
  <c r="T72" i="40"/>
  <c r="T70" i="40"/>
  <c r="T68" i="40"/>
  <c r="T67" i="40"/>
  <c r="T66" i="40"/>
  <c r="T65" i="40"/>
  <c r="T64" i="40"/>
  <c r="T63" i="40"/>
  <c r="T61" i="40"/>
  <c r="T60" i="40"/>
  <c r="T59" i="40"/>
  <c r="T58" i="40"/>
  <c r="T57" i="40"/>
  <c r="T56" i="40"/>
  <c r="T55" i="40"/>
  <c r="T54" i="40"/>
  <c r="T53" i="40"/>
  <c r="T52" i="40"/>
  <c r="T51" i="40"/>
  <c r="T50" i="40"/>
  <c r="T49" i="40"/>
  <c r="T48" i="40"/>
  <c r="T47" i="40"/>
  <c r="T46" i="40"/>
  <c r="T45" i="40"/>
  <c r="T44" i="40"/>
  <c r="T43" i="40"/>
  <c r="T42" i="40"/>
  <c r="T41" i="40"/>
  <c r="T40" i="40"/>
  <c r="T39" i="40"/>
  <c r="T38" i="40"/>
  <c r="T37" i="40"/>
  <c r="T36" i="40"/>
  <c r="T35" i="40"/>
  <c r="T34" i="40"/>
  <c r="T33" i="40"/>
  <c r="T32" i="40"/>
  <c r="T31" i="40"/>
  <c r="T30" i="40"/>
  <c r="T29" i="40"/>
  <c r="T28" i="40"/>
  <c r="T27" i="40"/>
  <c r="T26" i="40"/>
  <c r="T25" i="40"/>
  <c r="T24" i="40"/>
  <c r="T23" i="40"/>
  <c r="T22" i="40"/>
  <c r="T21" i="40"/>
  <c r="T20" i="40"/>
  <c r="T19" i="40"/>
  <c r="T18" i="40"/>
  <c r="T17" i="40"/>
  <c r="T16" i="40"/>
  <c r="T15" i="40"/>
  <c r="T14" i="40"/>
  <c r="T13" i="40"/>
  <c r="T12" i="40"/>
  <c r="T11" i="40"/>
  <c r="T10" i="40"/>
  <c r="T9" i="40"/>
  <c r="T8" i="40"/>
  <c r="T7" i="40"/>
  <c r="T6" i="40"/>
  <c r="T5" i="40"/>
  <c r="T4" i="40"/>
  <c r="T2" i="40"/>
  <c r="T363" i="39"/>
  <c r="T362" i="39"/>
  <c r="T361" i="39"/>
  <c r="T360" i="39"/>
  <c r="T359" i="39"/>
  <c r="T358" i="39"/>
  <c r="T357" i="39"/>
  <c r="T356" i="39"/>
  <c r="T355" i="39"/>
  <c r="T354" i="39"/>
  <c r="T353" i="39"/>
  <c r="T352" i="39"/>
  <c r="T351" i="39"/>
  <c r="T350" i="39"/>
  <c r="T349" i="39"/>
  <c r="T348" i="39"/>
  <c r="T347" i="39"/>
  <c r="T346" i="39"/>
  <c r="T345" i="39"/>
  <c r="T344" i="39"/>
  <c r="T343" i="39"/>
  <c r="T342" i="39"/>
  <c r="T341" i="39"/>
  <c r="T340" i="39"/>
  <c r="T339" i="39"/>
  <c r="T338" i="39"/>
  <c r="T337" i="39"/>
  <c r="T335" i="39"/>
  <c r="T334" i="39"/>
  <c r="T333" i="39"/>
  <c r="T332" i="39"/>
  <c r="T331" i="39"/>
  <c r="T330" i="39"/>
  <c r="T329" i="39"/>
  <c r="T328" i="39"/>
  <c r="T327" i="39"/>
  <c r="T326" i="39"/>
  <c r="T325" i="39"/>
  <c r="T324" i="39"/>
  <c r="T323" i="39"/>
  <c r="T322" i="39"/>
  <c r="T321" i="39"/>
  <c r="T320" i="39"/>
  <c r="T319" i="39"/>
  <c r="T318" i="39"/>
  <c r="T317" i="39"/>
  <c r="T316" i="39"/>
  <c r="T315" i="39"/>
  <c r="T314" i="39"/>
  <c r="T313" i="39"/>
  <c r="T312" i="39"/>
  <c r="T311" i="39"/>
  <c r="T310" i="39"/>
  <c r="T309" i="39"/>
  <c r="T308" i="39"/>
  <c r="T307" i="39"/>
  <c r="T306" i="39"/>
  <c r="T305" i="39"/>
  <c r="T304" i="39"/>
  <c r="T303" i="39"/>
  <c r="T302" i="39"/>
  <c r="T301" i="39"/>
  <c r="T300" i="39"/>
  <c r="T299" i="39"/>
  <c r="T298" i="39"/>
  <c r="T297" i="39"/>
  <c r="T296" i="39"/>
  <c r="T295" i="39"/>
  <c r="T294" i="39"/>
  <c r="T293" i="39"/>
  <c r="T292" i="39"/>
  <c r="T291" i="39"/>
  <c r="T290" i="39"/>
  <c r="T289" i="39"/>
  <c r="T288" i="39"/>
  <c r="T287" i="39"/>
  <c r="T286" i="39"/>
  <c r="T285" i="39"/>
  <c r="T284" i="39"/>
  <c r="T283" i="39"/>
  <c r="T282" i="39"/>
  <c r="T281" i="39"/>
  <c r="T280" i="39"/>
  <c r="T279" i="39"/>
  <c r="T278" i="39"/>
  <c r="T277" i="39"/>
  <c r="T276" i="39"/>
  <c r="T275" i="39"/>
  <c r="T274" i="39"/>
  <c r="T272" i="39"/>
  <c r="T271" i="39"/>
  <c r="T270" i="39"/>
  <c r="T269" i="39"/>
  <c r="T268" i="39"/>
  <c r="T267" i="39"/>
  <c r="T266" i="39"/>
  <c r="T265" i="39"/>
  <c r="T263" i="39"/>
  <c r="T262" i="39"/>
  <c r="T260" i="39"/>
  <c r="T259" i="39"/>
  <c r="T258" i="39"/>
  <c r="T257" i="39"/>
  <c r="T256" i="39"/>
  <c r="T255" i="39"/>
  <c r="T254" i="39"/>
  <c r="T253" i="39"/>
  <c r="T252" i="39"/>
  <c r="T251" i="39"/>
  <c r="T250" i="39"/>
  <c r="T249" i="39"/>
  <c r="T248" i="39"/>
  <c r="T247" i="39"/>
  <c r="T246" i="39"/>
  <c r="T245" i="39"/>
  <c r="T244" i="39"/>
  <c r="T243" i="39"/>
  <c r="T242" i="39"/>
  <c r="T241" i="39"/>
  <c r="T240" i="39"/>
  <c r="T239" i="39"/>
  <c r="T238" i="39"/>
  <c r="T237" i="39"/>
  <c r="T236" i="39"/>
  <c r="T235" i="39"/>
  <c r="T234" i="39"/>
  <c r="T233" i="39"/>
  <c r="T232" i="39"/>
  <c r="T231" i="39"/>
  <c r="T230" i="39"/>
  <c r="T229" i="39"/>
  <c r="T228" i="39"/>
  <c r="T227" i="39"/>
  <c r="T226" i="39"/>
  <c r="T225" i="39"/>
  <c r="T224" i="39"/>
  <c r="T223" i="39"/>
  <c r="T222" i="39"/>
  <c r="T221" i="39"/>
  <c r="T220" i="39"/>
  <c r="T219" i="39"/>
  <c r="T218" i="39"/>
  <c r="T217" i="39"/>
  <c r="T216" i="39"/>
  <c r="T215" i="39"/>
  <c r="T214" i="39"/>
  <c r="T213" i="39"/>
  <c r="T212" i="39"/>
  <c r="T211" i="39"/>
  <c r="T210" i="39"/>
  <c r="T209" i="39"/>
  <c r="T208" i="39"/>
  <c r="T207" i="39"/>
  <c r="T206" i="39"/>
  <c r="T205" i="39"/>
  <c r="T204" i="39"/>
  <c r="T203" i="39"/>
  <c r="T202" i="39"/>
  <c r="T201" i="39"/>
  <c r="T200" i="39"/>
  <c r="T199" i="39"/>
  <c r="T198" i="39"/>
  <c r="T197" i="39"/>
  <c r="T196" i="39"/>
  <c r="T195" i="39"/>
  <c r="T194" i="39"/>
  <c r="T193" i="39"/>
  <c r="T192" i="39"/>
  <c r="T191" i="39"/>
  <c r="T190" i="39"/>
  <c r="T189" i="39"/>
  <c r="T188" i="39"/>
  <c r="T187" i="39"/>
  <c r="T186" i="39"/>
  <c r="T185" i="39"/>
  <c r="T184" i="39"/>
  <c r="T183" i="39"/>
  <c r="T182" i="39"/>
  <c r="T181" i="39"/>
  <c r="T180" i="39"/>
  <c r="T179" i="39"/>
  <c r="T178" i="39"/>
  <c r="T177" i="39"/>
  <c r="T176" i="39"/>
  <c r="T175" i="39"/>
  <c r="T174" i="39"/>
  <c r="T173" i="39"/>
  <c r="T172" i="39"/>
  <c r="T171" i="39"/>
  <c r="T170" i="39"/>
  <c r="T169" i="39"/>
  <c r="T168" i="39"/>
  <c r="T167" i="39"/>
  <c r="T166" i="39"/>
  <c r="T165" i="39"/>
  <c r="T164" i="39"/>
  <c r="T163" i="39"/>
  <c r="T162" i="39"/>
  <c r="T161" i="39"/>
  <c r="T160" i="39"/>
  <c r="T159" i="39"/>
  <c r="T158" i="39"/>
  <c r="T157" i="39"/>
  <c r="T156" i="39"/>
  <c r="T155" i="39"/>
  <c r="T154" i="39"/>
  <c r="T153" i="39"/>
  <c r="T152" i="39"/>
  <c r="T151" i="39"/>
  <c r="T150" i="39"/>
  <c r="T149" i="39"/>
  <c r="T148" i="39"/>
  <c r="T147" i="39"/>
  <c r="T146" i="39"/>
  <c r="T145" i="39"/>
  <c r="T144" i="39"/>
  <c r="T143" i="39"/>
  <c r="T142" i="39"/>
  <c r="T141" i="39"/>
  <c r="T140" i="39"/>
  <c r="T139" i="39"/>
  <c r="T138" i="39"/>
  <c r="T137" i="39"/>
  <c r="T136" i="39"/>
  <c r="T135" i="39"/>
  <c r="T134" i="39"/>
  <c r="T133" i="39"/>
  <c r="T132" i="39"/>
  <c r="T131" i="39"/>
  <c r="T130" i="39"/>
  <c r="T129" i="39"/>
  <c r="T128" i="39"/>
  <c r="T127" i="39"/>
  <c r="T126" i="39"/>
  <c r="T125" i="39"/>
  <c r="T124" i="39"/>
  <c r="T123" i="39"/>
  <c r="T122" i="39"/>
  <c r="T121" i="39"/>
  <c r="T120" i="39"/>
  <c r="T119" i="39"/>
  <c r="T118" i="39"/>
  <c r="T117" i="39"/>
  <c r="T116" i="39"/>
  <c r="T115" i="39"/>
  <c r="T114" i="39"/>
  <c r="T110" i="39"/>
  <c r="T109" i="39"/>
  <c r="T108" i="39"/>
  <c r="T107" i="39"/>
  <c r="T106" i="39"/>
  <c r="T105" i="39"/>
  <c r="T104" i="39"/>
  <c r="T103" i="39"/>
  <c r="T102" i="39"/>
  <c r="T101" i="39"/>
  <c r="T100" i="39"/>
  <c r="T99" i="39"/>
  <c r="T98" i="39"/>
  <c r="T97" i="39"/>
  <c r="T96" i="39"/>
  <c r="T95" i="39"/>
  <c r="T94" i="39"/>
  <c r="T93" i="39"/>
  <c r="T92" i="39"/>
  <c r="T91" i="39"/>
  <c r="T90" i="39"/>
  <c r="T89" i="39"/>
  <c r="T88" i="39"/>
  <c r="T87" i="39"/>
  <c r="T86" i="39"/>
  <c r="T85" i="39"/>
  <c r="T84" i="39"/>
  <c r="T83" i="39"/>
  <c r="T82" i="39"/>
  <c r="T81" i="39"/>
  <c r="T80" i="39"/>
  <c r="T78" i="39"/>
  <c r="T77" i="39"/>
  <c r="T76" i="39"/>
  <c r="T75" i="39"/>
  <c r="T74" i="39"/>
  <c r="T73" i="39"/>
  <c r="T72" i="39"/>
  <c r="T71" i="39"/>
  <c r="T68" i="39"/>
  <c r="T67" i="39"/>
  <c r="T66" i="39"/>
  <c r="T65" i="39"/>
  <c r="T64" i="39"/>
  <c r="T63" i="39"/>
  <c r="T61" i="39"/>
  <c r="T59" i="39"/>
  <c r="T58" i="39"/>
  <c r="T57" i="39"/>
  <c r="T56" i="39"/>
  <c r="T55" i="39"/>
  <c r="T54" i="39"/>
  <c r="T53" i="39"/>
  <c r="T52" i="39"/>
  <c r="T51" i="39"/>
  <c r="T50" i="39"/>
  <c r="T49" i="39"/>
  <c r="T48" i="39"/>
  <c r="T47" i="39"/>
  <c r="T46" i="39"/>
  <c r="T45" i="39"/>
  <c r="T44" i="39"/>
  <c r="T43" i="39"/>
  <c r="T42" i="39"/>
  <c r="T41" i="39"/>
  <c r="T40" i="39"/>
  <c r="T39" i="39"/>
  <c r="T38" i="39"/>
  <c r="T37" i="39"/>
  <c r="T36" i="39"/>
  <c r="T35" i="39"/>
  <c r="T34" i="39"/>
  <c r="T33" i="39"/>
  <c r="T32" i="39"/>
  <c r="T31" i="39"/>
  <c r="T30" i="39"/>
  <c r="T29" i="39"/>
  <c r="T28" i="39"/>
  <c r="T27" i="39"/>
  <c r="T26" i="39"/>
  <c r="T25" i="39"/>
  <c r="T24" i="39"/>
  <c r="T23" i="39"/>
  <c r="T22" i="39"/>
  <c r="T21" i="39"/>
  <c r="T20" i="39"/>
  <c r="T19" i="39"/>
  <c r="T18" i="39"/>
  <c r="T17" i="39"/>
  <c r="T16" i="39"/>
  <c r="T15" i="39"/>
  <c r="T14" i="39"/>
  <c r="T13" i="39"/>
  <c r="T12" i="39"/>
  <c r="T11" i="39"/>
  <c r="T10" i="39"/>
  <c r="T9" i="39"/>
  <c r="T8" i="39"/>
  <c r="T7" i="39"/>
  <c r="T6" i="39"/>
  <c r="T5" i="39"/>
  <c r="T4" i="39"/>
  <c r="T3" i="39"/>
  <c r="T2" i="39"/>
  <c r="T137" i="37"/>
  <c r="T136" i="37"/>
  <c r="T135" i="37"/>
  <c r="T134" i="37"/>
  <c r="T133" i="37"/>
  <c r="T132" i="37"/>
  <c r="T131" i="37"/>
  <c r="T130" i="37"/>
  <c r="T129" i="37"/>
  <c r="T128" i="37"/>
  <c r="T127" i="37"/>
  <c r="T126" i="37"/>
  <c r="T125" i="37"/>
  <c r="T124" i="37"/>
  <c r="T123" i="37"/>
  <c r="T122" i="37"/>
  <c r="T121" i="37"/>
  <c r="T120" i="37"/>
  <c r="T119" i="37"/>
  <c r="T115" i="37"/>
  <c r="T114" i="37"/>
  <c r="T113" i="37"/>
  <c r="T112" i="37"/>
  <c r="T111" i="37"/>
  <c r="T110" i="37"/>
  <c r="T109" i="37"/>
  <c r="T108" i="37"/>
  <c r="T107" i="37"/>
  <c r="T106" i="37"/>
  <c r="T105" i="37"/>
  <c r="T104" i="37"/>
  <c r="T103" i="37"/>
  <c r="T102" i="37"/>
  <c r="T101" i="37"/>
  <c r="T100" i="37"/>
  <c r="T99" i="37"/>
  <c r="T98" i="37"/>
  <c r="T97" i="37"/>
  <c r="T96" i="37"/>
  <c r="T95" i="37"/>
  <c r="T94" i="37"/>
  <c r="T92" i="37"/>
  <c r="T91" i="37"/>
  <c r="T90" i="37"/>
  <c r="T89" i="37"/>
  <c r="T88" i="37"/>
  <c r="T87" i="37"/>
  <c r="T86" i="37"/>
  <c r="T85" i="37"/>
  <c r="T84" i="37"/>
  <c r="T82" i="37"/>
  <c r="T80" i="37"/>
  <c r="T79" i="37"/>
  <c r="T78" i="37"/>
  <c r="T76" i="37"/>
  <c r="T75" i="37"/>
  <c r="T74" i="37"/>
  <c r="T73" i="37"/>
  <c r="T72" i="37"/>
  <c r="T71" i="37"/>
  <c r="T69" i="37"/>
  <c r="T68" i="37"/>
  <c r="T67" i="37"/>
  <c r="T66" i="37"/>
  <c r="T65" i="37"/>
  <c r="T64" i="37"/>
  <c r="T63" i="37"/>
  <c r="T62" i="37"/>
  <c r="T61" i="37"/>
  <c r="T59" i="37"/>
  <c r="T58" i="37"/>
  <c r="T57" i="37"/>
  <c r="T56" i="37"/>
  <c r="T55" i="37"/>
  <c r="T54" i="37"/>
  <c r="T52" i="37"/>
  <c r="T51" i="37"/>
  <c r="T50" i="37"/>
  <c r="T49" i="37"/>
  <c r="T48" i="37"/>
  <c r="T47" i="37"/>
  <c r="T46" i="37"/>
  <c r="T45" i="37"/>
  <c r="T44" i="37"/>
  <c r="T43" i="37"/>
  <c r="T42" i="37"/>
  <c r="T41" i="37"/>
  <c r="T40" i="37"/>
  <c r="T39" i="37"/>
  <c r="T36" i="37"/>
  <c r="T35" i="37"/>
  <c r="T34" i="37"/>
  <c r="T33" i="37"/>
  <c r="T31" i="37"/>
  <c r="T30" i="37"/>
  <c r="T29" i="37"/>
  <c r="T28" i="37"/>
  <c r="T27" i="37"/>
  <c r="T26" i="37"/>
  <c r="T25" i="37"/>
  <c r="T23" i="37"/>
  <c r="T22" i="37"/>
  <c r="T21" i="37"/>
  <c r="T20" i="37"/>
  <c r="T19" i="37"/>
  <c r="T18" i="37"/>
  <c r="T17" i="37"/>
  <c r="T16" i="37"/>
  <c r="T15" i="37"/>
  <c r="T14" i="37"/>
  <c r="T13" i="37"/>
  <c r="T11" i="37"/>
  <c r="T10" i="37"/>
  <c r="T9" i="37"/>
  <c r="T8" i="37"/>
  <c r="T7" i="37"/>
  <c r="T6" i="37"/>
  <c r="T5" i="37"/>
  <c r="T4" i="37"/>
  <c r="T3" i="37"/>
  <c r="T2" i="37"/>
  <c r="T310" i="33"/>
  <c r="T309" i="33"/>
  <c r="T308" i="33"/>
  <c r="T307" i="33"/>
  <c r="T306" i="33"/>
  <c r="T305" i="33"/>
  <c r="T304" i="33"/>
  <c r="T303" i="33"/>
  <c r="T302" i="33"/>
  <c r="T301" i="33"/>
  <c r="T300" i="33"/>
  <c r="T299" i="33"/>
  <c r="T298" i="33"/>
  <c r="T297" i="33"/>
  <c r="T296" i="33"/>
  <c r="T295" i="33"/>
  <c r="T294" i="33"/>
  <c r="T293" i="33"/>
  <c r="T292" i="33"/>
  <c r="T291" i="33"/>
  <c r="T290" i="33"/>
  <c r="T289" i="33"/>
  <c r="T288" i="33"/>
  <c r="T287" i="33"/>
  <c r="T286" i="33"/>
  <c r="T284" i="33"/>
  <c r="T283" i="33"/>
  <c r="T282" i="33"/>
  <c r="T281" i="33"/>
  <c r="T280" i="33"/>
  <c r="T279" i="33"/>
  <c r="T278" i="33"/>
  <c r="T277" i="33"/>
  <c r="T276" i="33"/>
  <c r="T275" i="33"/>
  <c r="T274" i="33"/>
  <c r="T273" i="33"/>
  <c r="T272" i="33"/>
  <c r="T271" i="33"/>
  <c r="T270" i="33"/>
  <c r="T269" i="33"/>
  <c r="T268" i="33"/>
  <c r="T267" i="33"/>
  <c r="T266" i="33"/>
  <c r="T265" i="33"/>
  <c r="T264" i="33"/>
  <c r="T263" i="33"/>
  <c r="T262" i="33"/>
  <c r="T261" i="33"/>
  <c r="T260" i="33"/>
  <c r="T259" i="33"/>
  <c r="T258" i="33"/>
  <c r="T257" i="33"/>
  <c r="T256" i="33"/>
  <c r="T255" i="33"/>
  <c r="T254" i="33"/>
  <c r="T253" i="33"/>
  <c r="T252" i="33"/>
  <c r="T251" i="33"/>
  <c r="T250" i="33"/>
  <c r="T249" i="33"/>
  <c r="T248" i="33"/>
  <c r="T247" i="33"/>
  <c r="T246" i="33"/>
  <c r="T245" i="33"/>
  <c r="T244" i="33"/>
  <c r="T243" i="33"/>
  <c r="T242" i="33"/>
  <c r="T241" i="33"/>
  <c r="T240" i="33"/>
  <c r="T239" i="33"/>
  <c r="T238" i="33"/>
  <c r="T237" i="33"/>
  <c r="T236" i="33"/>
  <c r="T235" i="33"/>
  <c r="T234" i="33"/>
  <c r="T233" i="33"/>
  <c r="T232" i="33"/>
  <c r="T231" i="33"/>
  <c r="T230" i="33"/>
  <c r="T229" i="33"/>
  <c r="T228" i="33"/>
  <c r="T227" i="33"/>
  <c r="T226" i="33"/>
  <c r="T225" i="33"/>
  <c r="T224" i="33"/>
  <c r="T223" i="33"/>
  <c r="T222" i="33"/>
  <c r="T221" i="33"/>
  <c r="T220" i="33"/>
  <c r="T219" i="33"/>
  <c r="T218" i="33"/>
  <c r="T217" i="33"/>
  <c r="T215" i="33"/>
  <c r="T214" i="33"/>
  <c r="T213" i="33"/>
  <c r="T212" i="33"/>
  <c r="T211" i="33"/>
  <c r="T210" i="33"/>
  <c r="T209" i="33"/>
  <c r="T207" i="33"/>
  <c r="T206" i="33"/>
  <c r="T205" i="33"/>
  <c r="T204" i="33"/>
  <c r="T203" i="33"/>
  <c r="T202" i="33"/>
  <c r="T201" i="33"/>
  <c r="T200" i="33"/>
  <c r="T199" i="33"/>
  <c r="T198" i="33"/>
  <c r="T197" i="33"/>
  <c r="T196" i="33"/>
  <c r="T195" i="33"/>
  <c r="T194" i="33"/>
  <c r="T193" i="33"/>
  <c r="T192" i="33"/>
  <c r="T191" i="33"/>
  <c r="T190" i="33"/>
  <c r="T189" i="33"/>
  <c r="T188" i="33"/>
  <c r="T187" i="33"/>
  <c r="T186" i="33"/>
  <c r="T185" i="33"/>
  <c r="T184" i="33"/>
  <c r="T183" i="33"/>
  <c r="T182" i="33"/>
  <c r="T181" i="33"/>
  <c r="T180" i="33"/>
  <c r="T179" i="33"/>
  <c r="T178" i="33"/>
  <c r="T177" i="33"/>
  <c r="T176" i="33"/>
  <c r="T175" i="33"/>
  <c r="T174" i="33"/>
  <c r="T172" i="33"/>
  <c r="T171" i="33"/>
  <c r="T170" i="33"/>
  <c r="T169" i="33"/>
  <c r="T168" i="33"/>
  <c r="T167" i="33"/>
  <c r="T166" i="33"/>
  <c r="T165" i="33"/>
  <c r="T164" i="33"/>
  <c r="T163" i="33"/>
  <c r="T162" i="33"/>
  <c r="T161" i="33"/>
  <c r="T160" i="33"/>
  <c r="T159" i="33"/>
  <c r="T158" i="33"/>
  <c r="T157" i="33"/>
  <c r="T156" i="33"/>
  <c r="T155" i="33"/>
  <c r="T154" i="33"/>
  <c r="T153" i="33"/>
  <c r="T152" i="33"/>
  <c r="T151" i="33"/>
  <c r="T150" i="33"/>
  <c r="T149" i="33"/>
  <c r="T148" i="33"/>
  <c r="T147" i="33"/>
  <c r="T146" i="33"/>
  <c r="T145" i="33"/>
  <c r="T144" i="33"/>
  <c r="T143" i="33"/>
  <c r="T142" i="33"/>
  <c r="T140" i="33"/>
  <c r="T139" i="33"/>
  <c r="T138" i="33"/>
  <c r="T137" i="33"/>
  <c r="T136" i="33"/>
  <c r="T135" i="33"/>
  <c r="T134" i="33"/>
  <c r="T133" i="33"/>
  <c r="T132" i="33"/>
  <c r="T131" i="33"/>
  <c r="T130" i="33"/>
  <c r="T129" i="33"/>
  <c r="T128" i="33"/>
  <c r="T127" i="33"/>
  <c r="T126" i="33"/>
  <c r="T125" i="33"/>
  <c r="T124" i="33"/>
  <c r="T123" i="33"/>
  <c r="T122" i="33"/>
  <c r="T121" i="33"/>
  <c r="T120" i="33"/>
  <c r="T118" i="33"/>
  <c r="T117" i="33"/>
  <c r="T116" i="33"/>
  <c r="T115" i="33"/>
  <c r="T114" i="33"/>
  <c r="T113" i="33"/>
  <c r="T112" i="33"/>
  <c r="T111" i="33"/>
  <c r="T110" i="33"/>
  <c r="T109" i="33"/>
  <c r="T108" i="33"/>
  <c r="T107" i="33"/>
  <c r="T106" i="33"/>
  <c r="T105" i="33"/>
  <c r="T104" i="33"/>
  <c r="T103" i="33"/>
  <c r="T102" i="33"/>
  <c r="T101" i="33"/>
  <c r="T100" i="33"/>
  <c r="T99" i="33"/>
  <c r="T98" i="33"/>
  <c r="T97" i="33"/>
  <c r="T96" i="33"/>
  <c r="T95" i="33"/>
  <c r="T94" i="33"/>
  <c r="T93" i="33"/>
  <c r="T92" i="33"/>
  <c r="T91" i="33"/>
  <c r="T90" i="33"/>
  <c r="T89" i="33"/>
  <c r="T88" i="33"/>
  <c r="T87" i="33"/>
  <c r="T86" i="33"/>
  <c r="T85" i="33"/>
  <c r="T84" i="33"/>
  <c r="T83" i="33"/>
  <c r="T82" i="33"/>
  <c r="T81" i="33"/>
  <c r="T80" i="33"/>
  <c r="T79" i="33"/>
  <c r="T78" i="33"/>
  <c r="T77" i="33"/>
  <c r="T76" i="33"/>
  <c r="T75" i="33"/>
  <c r="T74" i="33"/>
  <c r="T73" i="33"/>
  <c r="T72" i="33"/>
  <c r="T71" i="33"/>
  <c r="T70" i="33"/>
  <c r="T69" i="33"/>
  <c r="T68" i="33"/>
  <c r="T67" i="33"/>
  <c r="T66" i="33"/>
  <c r="T65" i="33"/>
  <c r="T64" i="33"/>
  <c r="T63" i="33"/>
  <c r="T62" i="33"/>
  <c r="T61" i="33"/>
  <c r="T60" i="33"/>
  <c r="T59" i="33"/>
  <c r="T58" i="33"/>
  <c r="T57" i="33"/>
  <c r="T56" i="33"/>
  <c r="T55" i="33"/>
  <c r="T54" i="33"/>
  <c r="T53" i="33"/>
  <c r="T52" i="33"/>
  <c r="T51" i="33"/>
  <c r="T50" i="33"/>
  <c r="T49" i="33"/>
  <c r="T48" i="33"/>
  <c r="T47" i="33"/>
  <c r="T46" i="33"/>
  <c r="T45" i="33"/>
  <c r="T44" i="33"/>
  <c r="T43" i="33"/>
  <c r="T42" i="33"/>
  <c r="T41" i="33"/>
  <c r="T40" i="33"/>
  <c r="T39" i="33"/>
  <c r="T38" i="33"/>
  <c r="T37" i="33"/>
  <c r="T36" i="33"/>
  <c r="T35" i="33"/>
  <c r="T34" i="33"/>
  <c r="T33" i="33"/>
  <c r="T32" i="33"/>
  <c r="T31" i="33"/>
  <c r="T30" i="33"/>
  <c r="T29" i="33"/>
  <c r="T28" i="33"/>
  <c r="T27" i="33"/>
  <c r="T26" i="33"/>
  <c r="T25" i="33"/>
  <c r="T24" i="33"/>
  <c r="T23" i="33"/>
  <c r="T22" i="33"/>
  <c r="T21" i="33"/>
  <c r="T20" i="33"/>
  <c r="T19" i="33"/>
  <c r="T18" i="33"/>
  <c r="T17" i="33"/>
  <c r="T16" i="33"/>
  <c r="T15" i="33"/>
  <c r="T14" i="33"/>
  <c r="T13" i="33"/>
  <c r="T12" i="33"/>
  <c r="T11" i="33"/>
  <c r="T10" i="33"/>
  <c r="T9" i="33"/>
  <c r="T8" i="33"/>
  <c r="T7" i="33"/>
  <c r="T6" i="33"/>
  <c r="T5" i="33"/>
  <c r="T4" i="33"/>
  <c r="T3" i="33"/>
  <c r="T2" i="33"/>
  <c r="T432" i="29"/>
  <c r="T431" i="29"/>
  <c r="T430" i="29"/>
  <c r="T429" i="29"/>
  <c r="T428" i="29"/>
  <c r="T427" i="29"/>
  <c r="T426" i="29"/>
  <c r="T425" i="29"/>
  <c r="T423" i="29"/>
  <c r="T422" i="29"/>
  <c r="T421" i="29"/>
  <c r="T420" i="29"/>
  <c r="T419" i="29"/>
  <c r="T418" i="29"/>
  <c r="T417" i="29"/>
  <c r="T416" i="29"/>
  <c r="T415" i="29"/>
  <c r="T414" i="29"/>
  <c r="T413" i="29"/>
  <c r="T412" i="29"/>
  <c r="T411" i="29"/>
  <c r="T410" i="29"/>
  <c r="T409" i="29"/>
  <c r="T408" i="29"/>
  <c r="T407" i="29"/>
  <c r="T406" i="29"/>
  <c r="T405" i="29"/>
  <c r="T404" i="29"/>
  <c r="T403" i="29"/>
  <c r="T402" i="29"/>
  <c r="T401" i="29"/>
  <c r="T400" i="29"/>
  <c r="T399" i="29"/>
  <c r="T398" i="29"/>
  <c r="T397" i="29"/>
  <c r="T396" i="29"/>
  <c r="T395" i="29"/>
  <c r="T394" i="29"/>
  <c r="T393" i="29"/>
  <c r="T392" i="29"/>
  <c r="T391" i="29"/>
  <c r="T390" i="29"/>
  <c r="T389" i="29"/>
  <c r="T388" i="29"/>
  <c r="T387" i="29"/>
  <c r="T386" i="29"/>
  <c r="T385" i="29"/>
  <c r="T384" i="29"/>
  <c r="T383" i="29"/>
  <c r="T382" i="29"/>
  <c r="T381" i="29"/>
  <c r="T380" i="29"/>
  <c r="T379" i="29"/>
  <c r="T378" i="29"/>
  <c r="T377" i="29"/>
  <c r="T376" i="29"/>
  <c r="T375" i="29"/>
  <c r="T372" i="29"/>
  <c r="T371" i="29"/>
  <c r="T370" i="29"/>
  <c r="T369" i="29"/>
  <c r="T368" i="29"/>
  <c r="T367" i="29"/>
  <c r="T366" i="29"/>
  <c r="T365" i="29"/>
  <c r="T364" i="29"/>
  <c r="T363" i="29"/>
  <c r="T362" i="29"/>
  <c r="T361" i="29"/>
  <c r="T360" i="29"/>
  <c r="T359" i="29"/>
  <c r="T358" i="29"/>
  <c r="T357" i="29"/>
  <c r="T356" i="29"/>
  <c r="T355" i="29"/>
  <c r="T354" i="29"/>
  <c r="T353" i="29"/>
  <c r="T352" i="29"/>
  <c r="T351" i="29"/>
  <c r="T350" i="29"/>
  <c r="T349" i="29"/>
  <c r="T348" i="29"/>
  <c r="T347" i="29"/>
  <c r="T346" i="29"/>
  <c r="T345" i="29"/>
  <c r="T344" i="29"/>
  <c r="T343" i="29"/>
  <c r="T342" i="29"/>
  <c r="T341" i="29"/>
  <c r="T340" i="29"/>
  <c r="T339" i="29"/>
  <c r="T338" i="29"/>
  <c r="T337" i="29"/>
  <c r="T336" i="29"/>
  <c r="T335" i="29"/>
  <c r="T334" i="29"/>
  <c r="T333" i="29"/>
  <c r="T332" i="29"/>
  <c r="T331" i="29"/>
  <c r="T330" i="29"/>
  <c r="T329" i="29"/>
  <c r="T328" i="29"/>
  <c r="T327" i="29"/>
  <c r="T326" i="29"/>
  <c r="T325" i="29"/>
  <c r="T324" i="29"/>
  <c r="T323" i="29"/>
  <c r="T322" i="29"/>
  <c r="T320" i="29"/>
  <c r="T319" i="29"/>
  <c r="T318" i="29"/>
  <c r="T317" i="29"/>
  <c r="T316" i="29"/>
  <c r="T315" i="29"/>
  <c r="T314" i="29"/>
  <c r="T313" i="29"/>
  <c r="T312" i="29"/>
  <c r="T311" i="29"/>
  <c r="T310" i="29"/>
  <c r="T309" i="29"/>
  <c r="T308" i="29"/>
  <c r="T307" i="29"/>
  <c r="T306" i="29"/>
  <c r="T305" i="29"/>
  <c r="T304" i="29"/>
  <c r="T303" i="29"/>
  <c r="T302" i="29"/>
  <c r="T301" i="29"/>
  <c r="T300" i="29"/>
  <c r="T298" i="29"/>
  <c r="T297" i="29"/>
  <c r="T296" i="29"/>
  <c r="T295" i="29"/>
  <c r="T294" i="29"/>
  <c r="T293" i="29"/>
  <c r="T292" i="29"/>
  <c r="T291" i="29"/>
  <c r="T290" i="29"/>
  <c r="T289" i="29"/>
  <c r="T288" i="29"/>
  <c r="T287" i="29"/>
  <c r="T286" i="29"/>
  <c r="T285" i="29"/>
  <c r="T284" i="29"/>
  <c r="T283" i="29"/>
  <c r="T282" i="29"/>
  <c r="T281" i="29"/>
  <c r="T280" i="29"/>
  <c r="T279" i="29"/>
  <c r="T278" i="29"/>
  <c r="T277" i="29"/>
  <c r="T276" i="29"/>
  <c r="T275" i="29"/>
  <c r="T274" i="29"/>
  <c r="T273" i="29"/>
  <c r="T272" i="29"/>
  <c r="T271" i="29"/>
  <c r="T270" i="29"/>
  <c r="T269" i="29"/>
  <c r="T268" i="29"/>
  <c r="T267" i="29"/>
  <c r="T266" i="29"/>
  <c r="T265" i="29"/>
  <c r="T264" i="29"/>
  <c r="T263" i="29"/>
  <c r="T262" i="29"/>
  <c r="T261" i="29"/>
  <c r="T260" i="29"/>
  <c r="T259" i="29"/>
  <c r="T258" i="29"/>
  <c r="T257" i="29"/>
  <c r="T256" i="29"/>
  <c r="T255" i="29"/>
  <c r="T254" i="29"/>
  <c r="T253" i="29"/>
  <c r="T252" i="29"/>
  <c r="T251" i="29"/>
  <c r="T250" i="29"/>
  <c r="T249" i="29"/>
  <c r="T248" i="29"/>
  <c r="T247" i="29"/>
  <c r="T246" i="29"/>
  <c r="T245" i="29"/>
  <c r="T244" i="29"/>
  <c r="T243" i="29"/>
  <c r="T242" i="29"/>
  <c r="T241" i="29"/>
  <c r="T240" i="29"/>
  <c r="T239" i="29"/>
  <c r="T238" i="29"/>
  <c r="T237" i="29"/>
  <c r="T236" i="29"/>
  <c r="T235" i="29"/>
  <c r="T234" i="29"/>
  <c r="T233" i="29"/>
  <c r="T232" i="29"/>
  <c r="T231" i="29"/>
  <c r="T230" i="29"/>
  <c r="T229" i="29"/>
  <c r="T228" i="29"/>
  <c r="T227" i="29"/>
  <c r="T226" i="29"/>
  <c r="T225" i="29"/>
  <c r="T224" i="29"/>
  <c r="T223" i="29"/>
  <c r="T222" i="29"/>
  <c r="T221" i="29"/>
  <c r="T220" i="29"/>
  <c r="T219" i="29"/>
  <c r="T217" i="29"/>
  <c r="T216" i="29"/>
  <c r="T215" i="29"/>
  <c r="T214" i="29"/>
  <c r="T213" i="29"/>
  <c r="T212" i="29"/>
  <c r="T211" i="29"/>
  <c r="T210" i="29"/>
  <c r="T209" i="29"/>
  <c r="T208" i="29"/>
  <c r="T207" i="29"/>
  <c r="T206" i="29"/>
  <c r="T205" i="29"/>
  <c r="T204" i="29"/>
  <c r="T203" i="29"/>
  <c r="T202" i="29"/>
  <c r="T201" i="29"/>
  <c r="T200" i="29"/>
  <c r="T199" i="29"/>
  <c r="T198" i="29"/>
  <c r="T197" i="29"/>
  <c r="T196" i="29"/>
  <c r="T195" i="29"/>
  <c r="T194" i="29"/>
  <c r="T193" i="29"/>
  <c r="T192" i="29"/>
  <c r="T191" i="29"/>
  <c r="T190" i="29"/>
  <c r="T189" i="29"/>
  <c r="T188" i="29"/>
  <c r="T187" i="29"/>
  <c r="T186" i="29"/>
  <c r="T185" i="29"/>
  <c r="T184" i="29"/>
  <c r="T183" i="29"/>
  <c r="T182" i="29"/>
  <c r="T181" i="29"/>
  <c r="T180" i="29"/>
  <c r="T179" i="29"/>
  <c r="T178" i="29"/>
  <c r="T177" i="29"/>
  <c r="T176" i="29"/>
  <c r="T175" i="29"/>
  <c r="T174" i="29"/>
  <c r="T173" i="29"/>
  <c r="T172" i="29"/>
  <c r="T171" i="29"/>
  <c r="T170" i="29"/>
  <c r="T168" i="29"/>
  <c r="T167" i="29"/>
  <c r="T166" i="29"/>
  <c r="T165" i="29"/>
  <c r="T164" i="29"/>
  <c r="T163" i="29"/>
  <c r="T162" i="29"/>
  <c r="T161" i="29"/>
  <c r="T160" i="29"/>
  <c r="T159" i="29"/>
  <c r="T158" i="29"/>
  <c r="T157" i="29"/>
  <c r="T156" i="29"/>
  <c r="T155" i="29"/>
  <c r="T154" i="29"/>
  <c r="T153" i="29"/>
  <c r="T152" i="29"/>
  <c r="T151" i="29"/>
  <c r="T150" i="29"/>
  <c r="T149" i="29"/>
  <c r="T148" i="29"/>
  <c r="T147" i="29"/>
  <c r="T146" i="29"/>
  <c r="T145" i="29"/>
  <c r="T144" i="29"/>
  <c r="T143" i="29"/>
  <c r="T142" i="29"/>
  <c r="T141" i="29"/>
  <c r="T140" i="29"/>
  <c r="T139" i="29"/>
  <c r="T138" i="29"/>
  <c r="T137" i="29"/>
  <c r="T136" i="29"/>
  <c r="T135" i="29"/>
  <c r="T134" i="29"/>
  <c r="T133" i="29"/>
  <c r="T132" i="29"/>
  <c r="T131" i="29"/>
  <c r="T130" i="29"/>
  <c r="T129" i="29"/>
  <c r="T128" i="29"/>
  <c r="T127" i="29"/>
  <c r="T126" i="29"/>
  <c r="T125" i="29"/>
  <c r="T124" i="29"/>
  <c r="T123" i="29"/>
  <c r="T122" i="29"/>
  <c r="T121" i="29"/>
  <c r="T119" i="29"/>
  <c r="T118" i="29"/>
  <c r="T117" i="29"/>
  <c r="T116" i="29"/>
  <c r="T115" i="29"/>
  <c r="T114" i="29"/>
  <c r="T113" i="29"/>
  <c r="T110" i="29"/>
  <c r="T109" i="29"/>
  <c r="T108" i="29"/>
  <c r="T107" i="29"/>
  <c r="T106" i="29"/>
  <c r="T105" i="29"/>
  <c r="T104" i="29"/>
  <c r="T103" i="29"/>
  <c r="T102" i="29"/>
  <c r="T101" i="29"/>
  <c r="T100" i="29"/>
  <c r="T99" i="29"/>
  <c r="T98" i="29"/>
  <c r="T97" i="29"/>
  <c r="T96" i="29"/>
  <c r="T95" i="29"/>
  <c r="T94" i="29"/>
  <c r="T93" i="29"/>
  <c r="T92" i="29"/>
  <c r="T91" i="29"/>
  <c r="T90" i="29"/>
  <c r="T89" i="29"/>
  <c r="T88" i="29"/>
  <c r="T87" i="29"/>
  <c r="T86" i="29"/>
  <c r="T85" i="29"/>
  <c r="T84" i="29"/>
  <c r="T83" i="29"/>
  <c r="T82" i="29"/>
  <c r="T81" i="29"/>
  <c r="T80" i="29"/>
  <c r="T79" i="29"/>
  <c r="T78" i="29"/>
  <c r="T76" i="29"/>
  <c r="T75" i="29"/>
  <c r="T74" i="29"/>
  <c r="T73" i="29"/>
  <c r="T72" i="29"/>
  <c r="T71" i="29"/>
  <c r="T70" i="29"/>
  <c r="T69" i="29"/>
  <c r="T68" i="29"/>
  <c r="T67" i="29"/>
  <c r="T66" i="29"/>
  <c r="T65" i="29"/>
  <c r="T63" i="29"/>
  <c r="T62" i="29"/>
  <c r="T61" i="29"/>
  <c r="T60" i="29"/>
  <c r="T59" i="29"/>
  <c r="T58" i="29"/>
  <c r="T57" i="29"/>
  <c r="T56" i="29"/>
  <c r="T55" i="29"/>
  <c r="T54" i="29"/>
  <c r="T53" i="29"/>
  <c r="T52" i="29"/>
  <c r="T51" i="29"/>
  <c r="T49" i="29"/>
  <c r="T48" i="29"/>
  <c r="T47" i="29"/>
  <c r="T46" i="29"/>
  <c r="T45" i="29"/>
  <c r="T44" i="29"/>
  <c r="T43" i="29"/>
  <c r="T42" i="29"/>
  <c r="T41" i="29"/>
  <c r="T40" i="29"/>
  <c r="T39" i="29"/>
  <c r="T38" i="29"/>
  <c r="T37" i="29"/>
  <c r="T35" i="29"/>
  <c r="T34" i="29"/>
  <c r="T33" i="29"/>
  <c r="T32" i="29"/>
  <c r="T31" i="29"/>
  <c r="T30" i="29"/>
  <c r="T29" i="29"/>
  <c r="T28" i="29"/>
  <c r="T26" i="29"/>
  <c r="T25" i="29"/>
  <c r="T24" i="29"/>
  <c r="T23" i="29"/>
  <c r="T22" i="29"/>
  <c r="T21" i="29"/>
  <c r="T20" i="29"/>
  <c r="T19" i="29"/>
  <c r="T18" i="29"/>
  <c r="T17" i="29"/>
  <c r="T16" i="29"/>
  <c r="T15" i="29"/>
  <c r="T14" i="29"/>
  <c r="T13" i="29"/>
  <c r="T12" i="29"/>
  <c r="T11" i="29"/>
  <c r="T10" i="29"/>
  <c r="T9" i="29"/>
  <c r="T8" i="29"/>
  <c r="T7" i="29"/>
  <c r="T6" i="29"/>
  <c r="T5" i="29"/>
  <c r="T4" i="29"/>
  <c r="T3" i="29"/>
  <c r="T2" i="29"/>
  <c r="T338" i="28"/>
  <c r="T337" i="28"/>
  <c r="T336" i="28"/>
  <c r="T335" i="28"/>
  <c r="T334" i="28"/>
  <c r="T333" i="28"/>
  <c r="T332" i="28"/>
  <c r="T331" i="28"/>
  <c r="T330" i="28"/>
  <c r="T329" i="28"/>
  <c r="T328" i="28"/>
  <c r="T327" i="28"/>
  <c r="T326" i="28"/>
  <c r="T325" i="28"/>
  <c r="T324" i="28"/>
  <c r="T323" i="28"/>
  <c r="T322" i="28"/>
  <c r="T321" i="28"/>
  <c r="T320" i="28"/>
  <c r="T319" i="28"/>
  <c r="T318" i="28"/>
  <c r="T317" i="28"/>
  <c r="T316" i="28"/>
  <c r="T315" i="28"/>
  <c r="T314" i="28"/>
  <c r="T313" i="28"/>
  <c r="T312" i="28"/>
  <c r="T311" i="28"/>
  <c r="T310" i="28"/>
  <c r="T309" i="28"/>
  <c r="T308" i="28"/>
  <c r="T307" i="28"/>
  <c r="T306" i="28"/>
  <c r="T305" i="28"/>
  <c r="T304" i="28"/>
  <c r="T303" i="28"/>
  <c r="T302" i="28"/>
  <c r="T301" i="28"/>
  <c r="T300" i="28"/>
  <c r="T299" i="28"/>
  <c r="T298" i="28"/>
  <c r="T297" i="28"/>
  <c r="T296" i="28"/>
  <c r="T295" i="28"/>
  <c r="T294" i="28"/>
  <c r="T293" i="28"/>
  <c r="T292" i="28"/>
  <c r="T291" i="28"/>
  <c r="T290" i="28"/>
  <c r="T289" i="28"/>
  <c r="T288" i="28"/>
  <c r="T287" i="28"/>
  <c r="T286" i="28"/>
  <c r="T285" i="28"/>
  <c r="T284" i="28"/>
  <c r="T283" i="28"/>
  <c r="T282" i="28"/>
  <c r="T281" i="28"/>
  <c r="T280" i="28"/>
  <c r="T279" i="28"/>
  <c r="T278" i="28"/>
  <c r="T277" i="28"/>
  <c r="T276" i="28"/>
  <c r="T275" i="28"/>
  <c r="T274" i="28"/>
  <c r="T273" i="28"/>
  <c r="T272" i="28"/>
  <c r="T271" i="28"/>
  <c r="T270" i="28"/>
  <c r="T269" i="28"/>
  <c r="T268" i="28"/>
  <c r="T267" i="28"/>
  <c r="T266" i="28"/>
  <c r="T265" i="28"/>
  <c r="T264" i="28"/>
  <c r="T263" i="28"/>
  <c r="T262" i="28"/>
  <c r="T261" i="28"/>
  <c r="T260" i="28"/>
  <c r="T259" i="28"/>
  <c r="T258" i="28"/>
  <c r="T257" i="28"/>
  <c r="T256" i="28"/>
  <c r="T255" i="28"/>
  <c r="T254" i="28"/>
  <c r="T253" i="28"/>
  <c r="T252" i="28"/>
  <c r="T251" i="28"/>
  <c r="T250" i="28"/>
  <c r="T249" i="28"/>
  <c r="T248" i="28"/>
  <c r="T247" i="28"/>
  <c r="T246" i="28"/>
  <c r="T245" i="28"/>
  <c r="T244" i="28"/>
  <c r="T243" i="28"/>
  <c r="T242" i="28"/>
  <c r="T241" i="28"/>
  <c r="T240" i="28"/>
  <c r="T239" i="28"/>
  <c r="T238" i="28"/>
  <c r="T237" i="28"/>
  <c r="T236" i="28"/>
  <c r="T235" i="28"/>
  <c r="T234" i="28"/>
  <c r="T233" i="28"/>
  <c r="T232" i="28"/>
  <c r="T231" i="28"/>
  <c r="T230" i="28"/>
  <c r="T229" i="28"/>
  <c r="T228" i="28"/>
  <c r="T227" i="28"/>
  <c r="T226" i="28"/>
  <c r="T225" i="28"/>
  <c r="T224" i="28"/>
  <c r="T223" i="28"/>
  <c r="T222" i="28"/>
  <c r="T221" i="28"/>
  <c r="T220" i="28"/>
  <c r="T219" i="28"/>
  <c r="T218" i="28"/>
  <c r="T217" i="28"/>
  <c r="T216" i="28"/>
  <c r="T215" i="28"/>
  <c r="T214" i="28"/>
  <c r="T213" i="28"/>
  <c r="T212" i="28"/>
  <c r="T211" i="28"/>
  <c r="T210" i="28"/>
  <c r="T209" i="28"/>
  <c r="T208" i="28"/>
  <c r="T207" i="28"/>
  <c r="T206" i="28"/>
  <c r="T205" i="28"/>
  <c r="T204" i="28"/>
  <c r="T203" i="28"/>
  <c r="T202" i="28"/>
  <c r="T201" i="28"/>
  <c r="T200" i="28"/>
  <c r="T199" i="28"/>
  <c r="T198" i="28"/>
  <c r="T197" i="28"/>
  <c r="T196" i="28"/>
  <c r="T195" i="28"/>
  <c r="T194" i="28"/>
  <c r="T193" i="28"/>
  <c r="T192" i="28"/>
  <c r="T191" i="28"/>
  <c r="T190" i="28"/>
  <c r="T189" i="28"/>
  <c r="T188" i="28"/>
  <c r="T187" i="28"/>
  <c r="T186" i="28"/>
  <c r="T185" i="28"/>
  <c r="T184" i="28"/>
  <c r="T182" i="28"/>
  <c r="T181" i="28"/>
  <c r="T180" i="28"/>
  <c r="T179" i="28"/>
  <c r="T178" i="28"/>
  <c r="T177" i="28"/>
  <c r="T176" i="28"/>
  <c r="T175" i="28"/>
  <c r="T174" i="28"/>
  <c r="T173" i="28"/>
  <c r="T172" i="28"/>
  <c r="T171" i="28"/>
  <c r="T170" i="28"/>
  <c r="T169" i="28"/>
  <c r="T168" i="28"/>
  <c r="T167" i="28"/>
  <c r="T166" i="28"/>
  <c r="T165" i="28"/>
  <c r="T164" i="28"/>
  <c r="T163" i="28"/>
  <c r="T162" i="28"/>
  <c r="T161" i="28"/>
  <c r="T160" i="28"/>
  <c r="T159" i="28"/>
  <c r="T158" i="28"/>
  <c r="T157" i="28"/>
  <c r="T156" i="28"/>
  <c r="T155" i="28"/>
  <c r="T154" i="28"/>
  <c r="T153" i="28"/>
  <c r="T152" i="28"/>
  <c r="T151" i="28"/>
  <c r="T150" i="28"/>
  <c r="T149" i="28"/>
  <c r="T148" i="28"/>
  <c r="T147" i="28"/>
  <c r="T146" i="28"/>
  <c r="T145" i="28"/>
  <c r="T144" i="28"/>
  <c r="T143" i="28"/>
  <c r="T142" i="28"/>
  <c r="T141" i="28"/>
  <c r="T140" i="28"/>
  <c r="T139" i="28"/>
  <c r="T138" i="28"/>
  <c r="T137" i="28"/>
  <c r="T136" i="28"/>
  <c r="T135" i="28"/>
  <c r="T134" i="28"/>
  <c r="T132" i="28"/>
  <c r="T131" i="28"/>
  <c r="T130" i="28"/>
  <c r="T129" i="28"/>
  <c r="T128" i="28"/>
  <c r="T127" i="28"/>
  <c r="T126" i="28"/>
  <c r="T125" i="28"/>
  <c r="T124" i="28"/>
  <c r="T123" i="28"/>
  <c r="T122" i="28"/>
  <c r="T121" i="28"/>
  <c r="T120" i="28"/>
  <c r="T119" i="28"/>
  <c r="T118" i="28"/>
  <c r="T117" i="28"/>
  <c r="T116" i="28"/>
  <c r="T115" i="28"/>
  <c r="T114" i="28"/>
  <c r="T113" i="28"/>
  <c r="T112" i="28"/>
  <c r="T111" i="28"/>
  <c r="T110" i="28"/>
  <c r="T109" i="28"/>
  <c r="T108" i="28"/>
  <c r="T107" i="28"/>
  <c r="T106" i="28"/>
  <c r="T105" i="28"/>
  <c r="T104" i="28"/>
  <c r="T103" i="28"/>
  <c r="T102" i="28"/>
  <c r="T101" i="28"/>
  <c r="T100" i="28"/>
  <c r="T99" i="28"/>
  <c r="T98" i="28"/>
  <c r="T97" i="28"/>
  <c r="T96" i="28"/>
  <c r="T95" i="28"/>
  <c r="T94" i="28"/>
  <c r="T93" i="28"/>
  <c r="T92" i="28"/>
  <c r="T91" i="28"/>
  <c r="T90" i="28"/>
  <c r="T89" i="28"/>
  <c r="T88" i="28"/>
  <c r="T87" i="28"/>
  <c r="T86" i="28"/>
  <c r="T85" i="28"/>
  <c r="T84" i="28"/>
  <c r="T83" i="28"/>
  <c r="T82" i="28"/>
  <c r="T81" i="28"/>
  <c r="T80" i="28"/>
  <c r="T79" i="28"/>
  <c r="T78" i="28"/>
  <c r="T77" i="28"/>
  <c r="T76" i="28"/>
  <c r="T75" i="28"/>
  <c r="T74" i="28"/>
  <c r="T73" i="28"/>
  <c r="T72" i="28"/>
  <c r="T71" i="28"/>
  <c r="T70" i="28"/>
  <c r="T69" i="28"/>
  <c r="T68" i="28"/>
  <c r="T67" i="28"/>
  <c r="T66" i="28"/>
  <c r="T65" i="28"/>
  <c r="T64" i="28"/>
  <c r="T63" i="28"/>
  <c r="T62" i="28"/>
  <c r="T61" i="28"/>
  <c r="T60" i="28"/>
  <c r="T59" i="28"/>
  <c r="T58" i="28"/>
  <c r="T57" i="28"/>
  <c r="T56" i="28"/>
  <c r="T55" i="28"/>
  <c r="T54" i="28"/>
  <c r="T53" i="28"/>
  <c r="T52" i="28"/>
  <c r="T51" i="28"/>
  <c r="T50" i="28"/>
  <c r="T49" i="28"/>
  <c r="T48" i="28"/>
  <c r="T47" i="28"/>
  <c r="T46" i="28"/>
  <c r="T45" i="28"/>
  <c r="T44" i="28"/>
  <c r="T43" i="28"/>
  <c r="T42" i="28"/>
  <c r="T41" i="28"/>
  <c r="T40" i="28"/>
  <c r="T39" i="28"/>
  <c r="T38" i="28"/>
  <c r="T37" i="28"/>
  <c r="T36" i="28"/>
  <c r="T35" i="28"/>
  <c r="T34" i="28"/>
  <c r="T33" i="28"/>
  <c r="T32" i="28"/>
  <c r="T31" i="28"/>
  <c r="T30" i="28"/>
  <c r="T29" i="28"/>
  <c r="T28" i="28"/>
  <c r="T27" i="28"/>
  <c r="T26" i="28"/>
  <c r="T25" i="28"/>
  <c r="T24" i="28"/>
  <c r="T23" i="28"/>
  <c r="T22" i="28"/>
  <c r="T21" i="28"/>
  <c r="T20" i="28"/>
  <c r="T19" i="28"/>
  <c r="T18" i="28"/>
  <c r="T17" i="28"/>
  <c r="T16" i="28"/>
  <c r="T15" i="28"/>
  <c r="T14" i="28"/>
  <c r="T13" i="28"/>
  <c r="T12" i="28"/>
  <c r="T11" i="28"/>
  <c r="T10" i="28"/>
  <c r="T9" i="28"/>
  <c r="T8" i="28"/>
  <c r="T7" i="28"/>
  <c r="T6" i="28"/>
  <c r="T5" i="28"/>
  <c r="T4" i="28"/>
  <c r="T3" i="28"/>
  <c r="T2" i="28"/>
</calcChain>
</file>

<file path=xl/sharedStrings.xml><?xml version="1.0" encoding="utf-8"?>
<sst xmlns="http://schemas.openxmlformats.org/spreadsheetml/2006/main" count="27352" uniqueCount="3459">
  <si>
    <t>Super Mario Toddler Boys Mario Poses Short Heather Oatmeal 3T</t>
  </si>
  <si>
    <t>PAW Patrol Toddler Boys Paw Patrol Pajama Assorted 4T</t>
  </si>
  <si>
    <t>Hybrid Toddler Boys True Mickey T-shi Tie Dye 2T</t>
  </si>
  <si>
    <t>Bioworld Big Boys Sonic 2-Piece Hat and Blue One Size Fits All</t>
  </si>
  <si>
    <t>CMB0AT4SEGMC</t>
  </si>
  <si>
    <t>Epic Threads Epic Threads Toddler Girls Wat Candy Fizz 4T</t>
  </si>
  <si>
    <t>Epic Threads Toddler Boys Fleece, 3 Piece S Artichoke 4T</t>
  </si>
  <si>
    <t>100132987LG</t>
  </si>
  <si>
    <t>Epic Threads Toddler Girls Rainbow Unicorn Holiday Ivory 3T</t>
  </si>
  <si>
    <t>100138261GR</t>
  </si>
  <si>
    <t>Carters Baby Boys 2-Pc. Striped Fleece Assorted Newborn</t>
  </si>
  <si>
    <t>1M035510</t>
  </si>
  <si>
    <t>Epic Threads Epic Threads Little Girls Wate Deep Black 5</t>
  </si>
  <si>
    <t>Epic Threads Epic Threads Toddler Girls Wat Peacoat 4T</t>
  </si>
  <si>
    <t>Berkshire Little Girls Hat Mittens Set Blue ONE SIZE</t>
  </si>
  <si>
    <t>FRZ497</t>
  </si>
  <si>
    <t>First Impressions Baby Girls Stripes Stars Cot Bright White 18 months</t>
  </si>
  <si>
    <t>Carters Baby Boys 4-Pc. Yeti Cotton Pa Blue 12 months</t>
  </si>
  <si>
    <t>Carters Carters Baby Girls Pear Littl Yellow 6-24 months</t>
  </si>
  <si>
    <t>1K443310</t>
  </si>
  <si>
    <t>Epic Threads Big Girls Solid Basic Tee, Cre Bright White S 810</t>
  </si>
  <si>
    <t>100117851GR</t>
  </si>
  <si>
    <t>Epic Threads Big Girls Solid Basic Tee, Cre Deep Black XL 20</t>
  </si>
  <si>
    <t>Maidenform Lace-Back Ruched Seamless Crop White M 78</t>
  </si>
  <si>
    <t>Epic Threads Little Boys Knit Waist Denim S Lucas Wash 6</t>
  </si>
  <si>
    <t>Koala Baby Baby Girls Rainbow Newborn, 4 Pink 0-3 months</t>
  </si>
  <si>
    <t>KLF01283</t>
  </si>
  <si>
    <t>Epic Threads Epic Threads Little Girls Wate Candy Fizz 6</t>
  </si>
  <si>
    <t>Champion Little Boys Ko Script Long Sle Crayon Orange 5</t>
  </si>
  <si>
    <t>Epic Threads Epic Threads Little Girls Wate Candy Fizz 5</t>
  </si>
  <si>
    <t>Epic Threads Epic Threads Little Girls Wate Peacoat 6</t>
  </si>
  <si>
    <t>CF21B05H</t>
  </si>
  <si>
    <t>Hybrid Little Boys Animal Crossing Fa Oatmeal Heather 7</t>
  </si>
  <si>
    <t>Stride Rite Stride Rite Little Boys Made t Navy Multi 11</t>
  </si>
  <si>
    <t>CB020401</t>
  </si>
  <si>
    <t>DKNY DKNY Little Girls Emma Harness Black 12</t>
  </si>
  <si>
    <t>DKN166</t>
  </si>
  <si>
    <t>Carters Toddler Girls Striped Top and Yellow 2T</t>
  </si>
  <si>
    <t>Epic Threads Big Boys Basic Tee Bundle, Set Heather GreyNavyRed M 1214</t>
  </si>
  <si>
    <t>100138301BO</t>
  </si>
  <si>
    <t>First Impressions Baby Boys Polar Bear Cotton T- Passion Blue 24 months</t>
  </si>
  <si>
    <t>Jordan Jordan Toddler Boys Jumpman Ai Black 3T</t>
  </si>
  <si>
    <t>Carters Toddler Girls 2-Pc. Fleece Hoo Assorted-st 2T</t>
  </si>
  <si>
    <t>2M011310</t>
  </si>
  <si>
    <t>Gogo Jeans Big Girls Destructed Skinny Je Light Wash 14</t>
  </si>
  <si>
    <t>GOGO-60198</t>
  </si>
  <si>
    <t>Epic Threads Epic Threads Toddler Girls Wat Peacoat 3T</t>
  </si>
  <si>
    <t>Polo Ralph Lauren Toddler Boys Long Sleeve T-shi Liberty Blue 4T</t>
  </si>
  <si>
    <t>Tommy Hilfiger Tommy Hilfiger Big Boys Henry Grey Heather M 1214</t>
  </si>
  <si>
    <t>TBFDB96F-004</t>
  </si>
  <si>
    <t>DKNY DKNY Little Girls Emma Harness Black 11</t>
  </si>
  <si>
    <t>Epic Threads Epic Threads Toddler Girls Wat Deep Black 4T</t>
  </si>
  <si>
    <t>Champion Little Girls Champion Leopard Azalea Pink 6X</t>
  </si>
  <si>
    <t>Epic Threads Big Boys Short Sleeve Striped Oatmeal Heather M 1214</t>
  </si>
  <si>
    <t>First Impressions Baby Boys Fun Fair Isle Long-S Washed Indigo 12 months</t>
  </si>
  <si>
    <t>First Impressions Baby Boys Fun Fair Isle Jogger Washed Indigo 6-9 months</t>
  </si>
  <si>
    <t>Jordan Jordan Big Boys Color Blocked Black L 1416</t>
  </si>
  <si>
    <t>957953G</t>
  </si>
  <si>
    <t>COTTON ON Little Boys Henry Slouch 8020 Gray 7</t>
  </si>
  <si>
    <t>7340372-20-LB</t>
  </si>
  <si>
    <t>Epic Threads Toddler Girls 3D Heart Pocket Deep Black 2T</t>
  </si>
  <si>
    <t>Epic Threads Epic Threads Little Girls Wate Deep Black 6</t>
  </si>
  <si>
    <t>Carters Little Big Boys 2-Pc. Bear T Open 5</t>
  </si>
  <si>
    <t>Trimfit Little Big Girls 2-Pk. Metal Navyivory 8-10</t>
  </si>
  <si>
    <t>Epic Threads Big Boys Short Sleeve All Over Bright White XL 20</t>
  </si>
  <si>
    <t>Spider-Man Toddler Boys Spiderman Pajamas Assorted 2T</t>
  </si>
  <si>
    <t>Polo Ralph Lauren Toddler Boys Logo Cotton Jerse White 3T</t>
  </si>
  <si>
    <t>Epic Threads Toddler Boys Basic Tee Bundle, GreyNavyRed 4T</t>
  </si>
  <si>
    <t>ID Ideology Little Girls Fleece Sweatshirt Candy Fizz 2T</t>
  </si>
  <si>
    <t>Epic Threads Epic Threads Little Boys Camou Olive 7</t>
  </si>
  <si>
    <t>Jordan Toddler Boys Speckle Jumpman L Black 3T</t>
  </si>
  <si>
    <t>85A780G</t>
  </si>
  <si>
    <t>Carters 3-Piece Quilted Cardigan Set Navy Blue 3 months</t>
  </si>
  <si>
    <t>Carters Baby Girls Snug Fit Pajama, 4 Pink Pear 24 months</t>
  </si>
  <si>
    <t>Carters First Birthday Teething Bib Blue One Size Fits All</t>
  </si>
  <si>
    <t>1M276810</t>
  </si>
  <si>
    <t>Epic Threads Big Girls Cozy Fleece Jogger Frosted Gray Medium</t>
  </si>
  <si>
    <t>Epic Threads Epic Threads Toddler Girls Wat First Lilac 2T</t>
  </si>
  <si>
    <t>ID Ideology Little Girls Fleece Sweatshirt Fresh Orchid 2T</t>
  </si>
  <si>
    <t>Sleep On It Little Boys Novelty Pajama Set Green 6-7</t>
  </si>
  <si>
    <t>Baby Shark Toddler Girls Baby Shark Pajam Assorted 3T</t>
  </si>
  <si>
    <t>adidas Big Girls Event Hoodie, Plus S Charcoal Gray Heather XL PLUS</t>
  </si>
  <si>
    <t>First Impressions Baby Girls Grandmas House Tuni Faintest Pink 12 months</t>
  </si>
  <si>
    <t>100131140BG</t>
  </si>
  <si>
    <t>Sleep On It Big Girls Tight Fit Pajama Set Multi 8</t>
  </si>
  <si>
    <t>Jordan Big Boys Cotton Jumpman Logo T Gym Red M 1012</t>
  </si>
  <si>
    <t>Nike 3BRAND by Russell Wilson 3Brand by Russell Wilson Big B Black M 1012</t>
  </si>
  <si>
    <t>Tommy Hilfiger Big Girls Robe Assorted S 67</t>
  </si>
  <si>
    <t>Lauren Ralph Lauren Boys Solid Jacket Black 14R</t>
  </si>
  <si>
    <t>BLAY11PA0002</t>
  </si>
  <si>
    <t>Love Diana Love Diana Little Girls Pajama Assorted 6</t>
  </si>
  <si>
    <t>CHY069</t>
  </si>
  <si>
    <t>First Impressions Baby Girls Grandmas House Tuni Faintest Pink 3-6 months</t>
  </si>
  <si>
    <t>First Impressions Baby Girls Grandmas House Tuni Faintest Pink 18 months</t>
  </si>
  <si>
    <t>Minnie Mouse Minnie Mouse Toddler Girls 2- Assorted 2T</t>
  </si>
  <si>
    <t>Jordan Big Boys Cotton Jumpman Logo T Gym Red S 8</t>
  </si>
  <si>
    <t>Jordan Big Boys Cotton Jumpman Logo T Gym Red XL 1820</t>
  </si>
  <si>
    <t>Disney Little Girls Star Wars Dress Heather Gray 6X</t>
  </si>
  <si>
    <t>T000201SWMJ0575</t>
  </si>
  <si>
    <t>Blueberi Boulevard Toddler Girls Holiday Stripe a Multi 3T</t>
  </si>
  <si>
    <t>MAB23383</t>
  </si>
  <si>
    <t>Disney Toddler Girls Minnie Dress Oatmeal Heather 2T</t>
  </si>
  <si>
    <t>T000208GD13057</t>
  </si>
  <si>
    <t>ID Ideology Big Girl Tie-Dyed Shorts Ocean Spray XL 16</t>
  </si>
  <si>
    <t>100121847GR</t>
  </si>
  <si>
    <t>Nike Nike Big Boys Sportswear Club Midnight Navy, Game Royal, Whi M 1012</t>
  </si>
  <si>
    <t>adidas Big Girls Aeroready Badge of S Black with Purple L 1416</t>
  </si>
  <si>
    <t>Champion Little Boys Short Sleeve All O Scarlet 7</t>
  </si>
  <si>
    <t>First Impressions Baby Girls Holly-Print Tunic Cherry Red 18 months</t>
  </si>
  <si>
    <t>100131153BG</t>
  </si>
  <si>
    <t>First Impressions Baby Girls Flutter Tunic Ever Red 18 months</t>
  </si>
  <si>
    <t>Tommy Hilfiger Little Girls Pieced Logo T-Shi Flag Blue 6X</t>
  </si>
  <si>
    <t>Tommy Hilfiger Big Boys Knockout Logo Hoodie Oatmeal Heather Small</t>
  </si>
  <si>
    <t>TBFEB01F-103</t>
  </si>
  <si>
    <t>Carters Toddler Boys or Girls Santa-Pr Print 2T</t>
  </si>
  <si>
    <t>2M123610</t>
  </si>
  <si>
    <t>First Impressions Toddler Boys Mountain-Print Jo Wash Blue 2T</t>
  </si>
  <si>
    <t>100130729TB</t>
  </si>
  <si>
    <t>First Impressions Baby Boys Fair Isle Top Bone Hthr B2652 6-9 months</t>
  </si>
  <si>
    <t>100130706BB</t>
  </si>
  <si>
    <t>Carters Baby Girls Owl Cotton Pajamas Print 24 months</t>
  </si>
  <si>
    <t>1M103610</t>
  </si>
  <si>
    <t>Univibe Big Boys Laurel Striped Crew T Blue S 8</t>
  </si>
  <si>
    <t>UB221443</t>
  </si>
  <si>
    <t>Carters Baby Boys Pull-On Reinforced K Navy 18 months</t>
  </si>
  <si>
    <t>First Impressions Baby Girls Solid Tights Deep Black 0-6 months</t>
  </si>
  <si>
    <t>Tommy Hilfiger Tommy Hilfiger Toddler Girls Y Red 3T</t>
  </si>
  <si>
    <t>TGFEA10V-620</t>
  </si>
  <si>
    <t>The North Face Big Boys Vortex Triclimate Jac Asphalt Gray White Heather Medium</t>
  </si>
  <si>
    <t>NF0A5GD3JCT</t>
  </si>
  <si>
    <t>Steve Madden Little Girls Lace-Up Ankle Boo Black 13 Youth</t>
  </si>
  <si>
    <t>JBETTYY</t>
  </si>
  <si>
    <t>Carters Carters Toddler Boys New Fash Navy 5M</t>
  </si>
  <si>
    <t>CF21L18B</t>
  </si>
  <si>
    <t>Sugar Little Big GirlsMulti Strap Silver 2</t>
  </si>
  <si>
    <t>SGK JELLY ROLL</t>
  </si>
  <si>
    <t>METALLIC PU AND GLITTER UPPER, METAL BUCKLE, SMOOTH PU LINING, TPR OUTSOLE</t>
  </si>
  <si>
    <t>Nine West Little Girls Low-Top Sneakers White 12</t>
  </si>
  <si>
    <t>9KF SONIA</t>
  </si>
  <si>
    <t>Champion Little Boys All Over Print Ope White 4</t>
  </si>
  <si>
    <t>Champion Little Boys Signature Fleece H Oxford Heather 5</t>
  </si>
  <si>
    <t>Epic Threads Toddler Girls Cupcake T-shirt Lavender Pool 3T</t>
  </si>
  <si>
    <t>ID Ideology Big Girls Fleece Jogger Pants Candy Fizz S 78</t>
  </si>
  <si>
    <t>Nike Nike Big Boys Elite Super Bask Glacier Blue, Tropical Twist, L 1416</t>
  </si>
  <si>
    <t>Epic Threads Little Boys Peace Graphic T-sh Medium Heather Gray 5</t>
  </si>
  <si>
    <t>Hudson Baby Hudson Baby Basic Crew Socks, Light BlueGray 0-6 months</t>
  </si>
  <si>
    <t>COTTON, NYLON, SPANDEX</t>
  </si>
  <si>
    <t>Epic Threads Little Girls Ruched Heart Knee Lavender Pool 6X</t>
  </si>
  <si>
    <t>Polo Ralph Lauren Baby Boys Big Pony Jersey T-sh Light Navy 6 months</t>
  </si>
  <si>
    <t>Epic Threads Big Girls Short Sleeve Basic T Multi Medium</t>
  </si>
  <si>
    <t>First Impressions Toddler Girls Velour Snowflake Cherry Red 3T</t>
  </si>
  <si>
    <t>Carters Toddler Boys Colorblock Henley Blue 2T</t>
  </si>
  <si>
    <t>2M014010</t>
  </si>
  <si>
    <t>Nike Nike Big Girls Sportswear 78 Carbon Heathersunset Pulse L 14</t>
  </si>
  <si>
    <t>DA1128</t>
  </si>
  <si>
    <t>Nike Nike Big Girls Sportswear Crop Whitemagic Emberpink Foam S 8</t>
  </si>
  <si>
    <t>DA6925</t>
  </si>
  <si>
    <t>Nike Nike Dri-FIT Sprinter Big Girl Purple 1 XL 16</t>
  </si>
  <si>
    <t>Nike Nike Big Girls Sportswear Prin Pink Foam, White Small</t>
  </si>
  <si>
    <t>Nike Nike Big Girls Dri-Fit Sprinte Black, White Small</t>
  </si>
  <si>
    <t>First Impressions Baby Boys Fair Isle Top Bone Hthr B2652 18 months</t>
  </si>
  <si>
    <t>InMocean Little Girls Tie Dye Sherpa 3 Multi</t>
  </si>
  <si>
    <t>DFA31210-MAC-MLT</t>
  </si>
  <si>
    <t>Nike Nike Little Girls Just Do It P Blue Void 4</t>
  </si>
  <si>
    <t>adidas adidas Little Boys Short Sleev Collegiate Navy 4</t>
  </si>
  <si>
    <t>Columbia Big Girls Arctic Blast Jacket Pink Orchid, Bright Geranium Medium</t>
  </si>
  <si>
    <t>Nautica Little Boys Stretch Blue Oxfor Ox Blue L 6</t>
  </si>
  <si>
    <t>NUACB01E-450</t>
  </si>
  <si>
    <t>Calvin Klein Calvin Klein Big Girls Seamles Symphony Logo S 68</t>
  </si>
  <si>
    <t>Calvin Klein Little Big Girls 3-Pk. Bikin Crystal Pinkwhitegrey 6 blac S 68</t>
  </si>
  <si>
    <t>COTTON/MODAL/SPANDEX</t>
  </si>
  <si>
    <t>Champion Little Boys All Over Print Ope White 5</t>
  </si>
  <si>
    <t>Epic Threads Little Boys Short Sleeve Color Peacoat 6</t>
  </si>
  <si>
    <t>100133738LB</t>
  </si>
  <si>
    <t>ID Ideology Big Girls Hoodie Dress Pebble Hthr S 78</t>
  </si>
  <si>
    <t>Carters Floral Jumpsuit Blue 3 months</t>
  </si>
  <si>
    <t>1I573910</t>
  </si>
  <si>
    <t>Disney Little Girls Star Wars Dress Heather Gray 4</t>
  </si>
  <si>
    <t>Under Armour Big Girls Tech No Stoppin Me S Black XL 1820</t>
  </si>
  <si>
    <t>Champion Little Boys Pixel Script T-shi Dark Blue 5</t>
  </si>
  <si>
    <t>CHY016</t>
  </si>
  <si>
    <t>Nike Nike Big Girls Air Sweatshirt Black, Dark Smoke Gray XL 1820</t>
  </si>
  <si>
    <t>Nike Nike Big Girls Sportswear Crop Carbon Heather, Pink Foam Small</t>
  </si>
  <si>
    <t>Nike Nike Big Girls Dri-Fit Sprinte Black, White X-Large</t>
  </si>
  <si>
    <t>MANDALORIAN 2 PC SET</t>
  </si>
  <si>
    <t>UT027GLLZA</t>
  </si>
  <si>
    <t>Hybrid Little Boys Mickey Walking Coo RedBlack 6</t>
  </si>
  <si>
    <t>2TBDNY4180</t>
  </si>
  <si>
    <t>Disney Disney Toddler Girls Hello Kit Snow White 3T</t>
  </si>
  <si>
    <t>Carters Baby Boys 4-Pc. Dino Cotton Pa Print 18 months</t>
  </si>
  <si>
    <t>1M039510</t>
  </si>
  <si>
    <t>The North Face The North Face Toddler Boys Monterey Blue 4T</t>
  </si>
  <si>
    <t>NF0A4TK9BH7</t>
  </si>
  <si>
    <t>INC International Concepts Little Girls Lola Sandal Silver 1M</t>
  </si>
  <si>
    <t>JEM MIRACLE MULE</t>
  </si>
  <si>
    <t>MK100011C</t>
  </si>
  <si>
    <t>BBC INTERNATIONAL LLC</t>
  </si>
  <si>
    <t>Champion Champion Little Girls Smiley F White 4</t>
  </si>
  <si>
    <t>Epic Threads Little Girls Cottage Core Soli Boysenberry 6X</t>
  </si>
  <si>
    <t>ID Ideology Big Girls Rainbow-Stripe Fleec Rose Shadow L 14</t>
  </si>
  <si>
    <t>Epic Threads Toddler Girls Cupcake T-shirt Lavender Pool 2T</t>
  </si>
  <si>
    <t>Little Treasure Little Treasure Baby Boys Body Multi 3-6 months</t>
  </si>
  <si>
    <t>ID Ideology Big Girls Rainbow-Stripe Fleec Ghost Heather M 1012</t>
  </si>
  <si>
    <t>ID Ideology Big Girls Pink Fleece Sweatshi Candy Fizz XXL 18</t>
  </si>
  <si>
    <t>Champion Champion Big Girls Script Boxy White, Multi L 14</t>
  </si>
  <si>
    <t>CHG077</t>
  </si>
  <si>
    <t>Hybrid Big Boys Toy Story Short Sleev Charcoal Heather M 1012</t>
  </si>
  <si>
    <t>2YBDNY4285</t>
  </si>
  <si>
    <t>First Impressions Toddler Boys Rainbow Knee Patc Stormy Grey Ht 2T</t>
  </si>
  <si>
    <t>100130693TB</t>
  </si>
  <si>
    <t>Carters Toddler Boys or Girls 2-Piece Print 2T</t>
  </si>
  <si>
    <t>2M132510</t>
  </si>
  <si>
    <t>First Impressions Baby Boys Cycling Pals Top Cherry Red 6-9 months</t>
  </si>
  <si>
    <t>Epic Threads Little Boys Short Sleeve Text Jalapeno 6</t>
  </si>
  <si>
    <t>First Impressions Baby Girls Holly-Print Tunic Cherry Red 6-9 months</t>
  </si>
  <si>
    <t>Kids Headquarters Kids Headquarters Little Boys Multi 7</t>
  </si>
  <si>
    <t>10L52009-99</t>
  </si>
  <si>
    <t>Nike Nike Big Girls Sportswear Crop Black M 1012</t>
  </si>
  <si>
    <t>Nike Nike Big Girls Air Sweatshirt Black, Dark Smoke Gray L 1416</t>
  </si>
  <si>
    <t>Nike Nike Big Girls Sportswear Crop Black S 8</t>
  </si>
  <si>
    <t>Nike Nike Little Girls Fleece Long Violet Shock 6X</t>
  </si>
  <si>
    <t>36I078G</t>
  </si>
  <si>
    <t>Epic Threads Little Boys Short Sleeve Text Medium Heather Gray 7</t>
  </si>
  <si>
    <t>100133754LB</t>
  </si>
  <si>
    <t>LIKE NASTYA 2 PC SET</t>
  </si>
  <si>
    <t>IY000GLLZA</t>
  </si>
  <si>
    <t>Calvin Klein Calvin Klein Performance Big B Tech Ebony XL 1820</t>
  </si>
  <si>
    <t>CKFEC19F-029</t>
  </si>
  <si>
    <t>Hybrid Toddler Boys Pj Masks Brave Li Navy 2T</t>
  </si>
  <si>
    <t>Tommy Hilfiger Boys Alexander Pants Navy 12R</t>
  </si>
  <si>
    <t>T841234</t>
  </si>
  <si>
    <t>Nautica Little Boys Stretch Blue Oxfor Ox Blue XL 7</t>
  </si>
  <si>
    <t>Carters Carters Toddler Boys New Fash Navy 7M</t>
  </si>
  <si>
    <t>BCBG BCBG Little Big Girls Lisa C Black 2M</t>
  </si>
  <si>
    <t>BF191001BK</t>
  </si>
  <si>
    <t>POLYURETHANE</t>
  </si>
  <si>
    <t>Calvin Klein Big Boys Old School Logo Pullo Cabernet L 1416</t>
  </si>
  <si>
    <t>CKFEB41F-610</t>
  </si>
  <si>
    <t>Carters Carters Baby Girls 4-Piece Sn Purple 24 months</t>
  </si>
  <si>
    <t>1M096310</t>
  </si>
  <si>
    <t>Champion Little Boys Short Sleeve All O Crayon Orange 6</t>
  </si>
  <si>
    <t>Star Wars Big Boys Star Wars Short Sleev Red L 1416</t>
  </si>
  <si>
    <t>2JSWM0507</t>
  </si>
  <si>
    <t>Hybrid Big Boys The Simpsons Problem Royal L</t>
  </si>
  <si>
    <t>2YBSMP0023</t>
  </si>
  <si>
    <t>Epic Threads Big Girls Fair Isle Fleece Lin Strawberry Pink L 1416</t>
  </si>
  <si>
    <t>First Impressions Toddler Girl T DOT VELOUR TOP Cherry Red 3T</t>
  </si>
  <si>
    <t>Under Armour Big Girls Armour Printed Ankle Purple Zest Medium</t>
  </si>
  <si>
    <t>Bonnie Baby Baby Girls Striped to Check Dr Gray 24 months</t>
  </si>
  <si>
    <t>X54495-PT</t>
  </si>
  <si>
    <t>First Impressions Baby Girls Plaid Cotton Tunic Cherry Red 3-6 months</t>
  </si>
  <si>
    <t>Nike Nike Big Girls Sportswear Favo Blue Void, Pink Foam S 8</t>
  </si>
  <si>
    <t>Tommy Hilfiger Tommy Hilfiger Little Boys Dot Dark Blue L 6</t>
  </si>
  <si>
    <t>TBFDC00J-405</t>
  </si>
  <si>
    <t>Tommy Hilfiger Tommy Hilfiger Toddler Boys Mi Dark Blue 2T</t>
  </si>
  <si>
    <t>TBFDC07J-405</t>
  </si>
  <si>
    <t>Nike Big Girls Dri-FIT Trophy Train BlackWhite S 8</t>
  </si>
  <si>
    <t>CJ7562</t>
  </si>
  <si>
    <t>POLYESTER/SPANDEX; GUSSET LINING: POLYESTER</t>
  </si>
  <si>
    <t>adidas Big Girls Short Sleeve Crossov Black with Multi L 1416</t>
  </si>
  <si>
    <t>First Impressions Toddler Boys Mountain Print Lo Washed Blue 2T</t>
  </si>
  <si>
    <t>100130704TB</t>
  </si>
  <si>
    <t>Epic Threads Toddler Boys Short Sleeve Holi Deep Black 3T</t>
  </si>
  <si>
    <t>First Impressions Baby Boys Fair Isle Top Bone Hthr B2652 12 months</t>
  </si>
  <si>
    <t>First Impressions Toddler Boys Camo-Print Jogger Navy Nautical 2T</t>
  </si>
  <si>
    <t>100130686TB</t>
  </si>
  <si>
    <t>Frozen 2 Frozen 2 Toddler Girls Pajama, Assorted 4T</t>
  </si>
  <si>
    <t>Hybrid Little Boys Jurassic World Neo Navy 7</t>
  </si>
  <si>
    <t>The North Face Big Girls Osolita Full-Zip Jac The North Face Black XXSmall</t>
  </si>
  <si>
    <t>NF0A5GEDJK3</t>
  </si>
  <si>
    <t>Kidz Concepts One Step Up Big Girls 3 Pack T Oatmeal and Harvest and Berry S 78</t>
  </si>
  <si>
    <t>YSQ45147M</t>
  </si>
  <si>
    <t>Nike 2-Pc. Swoosh Beanie Gloves S Black 8-20</t>
  </si>
  <si>
    <t>Trimfit Big Girls 4-Pack Retro Hearts Cream Small-Medium</t>
  </si>
  <si>
    <t>Carters Toddler Girls Chambray Top and Pink 5T</t>
  </si>
  <si>
    <t>INC International Concepts Big Girls Ruby Combat Boots White Iridecent 3M</t>
  </si>
  <si>
    <t>Champion Toddler Boys All Over Print Op White 3T</t>
  </si>
  <si>
    <t>First Impressions Baby Girls Cupcake Dot Long-Sl Slate Heather 12 months</t>
  </si>
  <si>
    <t>First Impressions Baby Girls Sundae Funday T-Shi Angel White 24 months</t>
  </si>
  <si>
    <t>Nike Nike Big Boys Pro Tights BlackWhite M 1012</t>
  </si>
  <si>
    <t>CK4546</t>
  </si>
  <si>
    <t>Epic Threads Toddler Girls Graphic Balloon Holiday Ivory 2T</t>
  </si>
  <si>
    <t>Carters Baby Boys Space Explorer Knit Navy 3 months</t>
  </si>
  <si>
    <t>adidas Big Girls Aeroready Badge of S Adi Black with Multi L 14</t>
  </si>
  <si>
    <t>adidas Big Girls Aeroready Allover Pr Halo Silver L 14</t>
  </si>
  <si>
    <t>AK4766</t>
  </si>
  <si>
    <t>Carters Boys Santa Jersey Top Heather 2T</t>
  </si>
  <si>
    <t>First Impressions Baby Girls Velour Lollipop Shi Foxglove 24 months</t>
  </si>
  <si>
    <t>100131151BG</t>
  </si>
  <si>
    <t>Tommy Hilfiger Toddler Girls Logo Flag T-Shir Flag Blue 4T</t>
  </si>
  <si>
    <t>Nike Nike Toddler Girls Club Fleece Midnight Navy 4T</t>
  </si>
  <si>
    <t>26I319G</t>
  </si>
  <si>
    <t>Nike Big Girls Sportswear T-Shirt Green Large</t>
  </si>
  <si>
    <t>DH5747</t>
  </si>
  <si>
    <t>First Impressions Baby Boys Fair Isle Top Bone Hthr B2652 3-6 months</t>
  </si>
  <si>
    <t>BELLE AND CHIP DRESS</t>
  </si>
  <si>
    <t>T000254GD12788</t>
  </si>
  <si>
    <t>The North Face Big Girls Reversible Mossbud S Vanadis Gray Heather with Gard XSmall</t>
  </si>
  <si>
    <t>NF0A5AB53DB</t>
  </si>
  <si>
    <t>Nike Nike Toddler Girls Core Padded Glacier Blue 3T</t>
  </si>
  <si>
    <t>Epic Threads Toddler Boys Solid Basic Tee, Navy Nautical 2T</t>
  </si>
  <si>
    <t>InMocean Little Girls Unicorn Sequin 2 Multi</t>
  </si>
  <si>
    <t>DFA31229-MAC-MLT</t>
  </si>
  <si>
    <t>Kenneth Cole New York Kenneth Cole New York Little G Black 2</t>
  </si>
  <si>
    <t>KCR117</t>
  </si>
  <si>
    <t>Polo Ralph Lauren Big Boys Holiday Bear Crew Soc Assorted 9-11</t>
  </si>
  <si>
    <t>B61295BPK</t>
  </si>
  <si>
    <t>POLO RALPH LAUREN-HOT SOX BOYS</t>
  </si>
  <si>
    <t>Steve Madden Steve Madden Little Girls Snea Black 11M</t>
  </si>
  <si>
    <t>Champion Toddler Boys Short Sleeve Tee Oxford Heather 2T</t>
  </si>
  <si>
    <t>5486CB</t>
  </si>
  <si>
    <t>Champion Little Boys Script Over Camo T White 4</t>
  </si>
  <si>
    <t>First Impressions Baby Girls Cupcake Dot Long-Sl Slate Heather 6-9 months</t>
  </si>
  <si>
    <t>Nautica Young Men Short Sleeve Perform Hunter XL</t>
  </si>
  <si>
    <t>Nautica Young Men Short Sleeve Perform Red XL</t>
  </si>
  <si>
    <t>First Impressions Baby Girls Metallic Bomber Jac Silver Metallic 3-6 months</t>
  </si>
  <si>
    <t>Epic Threads Toddler Girls Long Sleeve Grap Holiday Ivory 3T</t>
  </si>
  <si>
    <t>Epic Threads Toddler Girls Fair Isle Fleece Strawberry Pink 3T</t>
  </si>
  <si>
    <t>Hybrid Big Boys Snoopy Nap Short Slee Heather Grey L 1416</t>
  </si>
  <si>
    <t>2YBPNT1880</t>
  </si>
  <si>
    <t>Carters Little Girls 2-Pc. Plaid Butto Assorted 8</t>
  </si>
  <si>
    <t>3M143110</t>
  </si>
  <si>
    <t>Calvin Klein Calvin Klein Big Girls Stripe Black L 1214</t>
  </si>
  <si>
    <t>CKTFA04S-003</t>
  </si>
  <si>
    <t>Epic Threads Big Girls Solid Cargo Jogger Foxglove XLarge</t>
  </si>
  <si>
    <t>Nautica Little Boys 3-Pc. Striped Swea Dark Gray 7</t>
  </si>
  <si>
    <t>NDFEI06J-022</t>
  </si>
  <si>
    <t>Epic Threads Toddler Boys Short Sleeve Text Jalapeno 3T</t>
  </si>
  <si>
    <t>First Impressions Baby Girls Holly-Print Tunic Cherry Red 3-6 months</t>
  </si>
  <si>
    <t>Nike Nike Little Girls Club Fleece Purple Chalk 4</t>
  </si>
  <si>
    <t>36I284G</t>
  </si>
  <si>
    <t>Nike Nike Toddler Girls Club Fleece Pink Foam 3T</t>
  </si>
  <si>
    <t>Disney Disney Princess Little Girls N Blue 4</t>
  </si>
  <si>
    <t>DP587GDSMA</t>
  </si>
  <si>
    <t>First Impressions Toddler Boys Paleo Puzzle Jogg Bright Pine 4T</t>
  </si>
  <si>
    <t>Berkshire Little Boys Space Jam Hat Gl Brnoverflw ONE SIZE</t>
  </si>
  <si>
    <t>SPJ107</t>
  </si>
  <si>
    <t>Hybrid Big Boys Be Brave and Strong S Charcoal Heather Small</t>
  </si>
  <si>
    <t>Teva Kids Hurricane XLT 2 Sandals Vista Blue Indigo 1</t>
  </si>
  <si>
    <t>SUESUE</t>
  </si>
  <si>
    <t>CF20T08H</t>
  </si>
  <si>
    <t>Epic Threads Big Girls Solid Basic Tee, Cre Bright White M 1214</t>
  </si>
  <si>
    <t>Volcom Big Boys Frickin Chino Shorts Smoke Blue 29</t>
  </si>
  <si>
    <t>C0912030</t>
  </si>
  <si>
    <t>Epic Threads Big Girls Criss-Cross Strappy Deep Black L 1416</t>
  </si>
  <si>
    <t>Epic Threads Big Girls High Neck Striped Ta Deep Black L 1416</t>
  </si>
  <si>
    <t>100097798GR</t>
  </si>
  <si>
    <t>5D016GGLMA</t>
  </si>
  <si>
    <t>Hybrid Big Boys The Simpsons Problem Royal S</t>
  </si>
  <si>
    <t>Hybrid Big Boys Toy Story Short Sleev Charcoal Heather L 1416</t>
  </si>
  <si>
    <t>Star Wars Big Boys Star Wars Short Sleev Red M 1012</t>
  </si>
  <si>
    <t>Carters Toddler Boys 2-Pc. Moose Hoodi Assorted 2T</t>
  </si>
  <si>
    <t>Nike Nike Little Boys Graphic T-shi Carbon Heather 4</t>
  </si>
  <si>
    <t>86I101G</t>
  </si>
  <si>
    <t>adidas Big Girls Allover Print Fleece Halo Mint S 810</t>
  </si>
  <si>
    <t>First Impressions Baby Girls 2-Pc. Fuzzy Fleece Cherry Red 18 months</t>
  </si>
  <si>
    <t>First Impressions Baby Girls Grandmas House Pri Faintest Pink 6-9 months</t>
  </si>
  <si>
    <t>Champion Little Boys Color Block Script Navy, Multi 6</t>
  </si>
  <si>
    <t>Tommy Hilfiger Tommy Hilfiger Little Boys Min Dark Blue XL 7</t>
  </si>
  <si>
    <t>Nike Nike Big Girls Sportswear T-sh Purple Chalk Small</t>
  </si>
  <si>
    <t>DC7057</t>
  </si>
  <si>
    <t>Nike Nike Little Girls Icon Clash L Charcoal Heather 4</t>
  </si>
  <si>
    <t>36H914G</t>
  </si>
  <si>
    <t>Nike Nike Little Girls Go For Gold Charcoal Heather 6X</t>
  </si>
  <si>
    <t>36I111G</t>
  </si>
  <si>
    <t>Nike Nike Little Girls Go For Gold Black 4</t>
  </si>
  <si>
    <t>First Impressions Baby Boys Fair Isle Top Bone Hthr B2652 24 months</t>
  </si>
  <si>
    <t>First Impressions Toddler Boys Cool Dude Raglan Angel White 2T</t>
  </si>
  <si>
    <t>First Impressions Toddler Boys Cool Dude Raglan Angel White 4T</t>
  </si>
  <si>
    <t>First Impressions VELOUR LEGGING Horizon Blue 18 months</t>
  </si>
  <si>
    <t>Disney Little Girls Pony Fun T-shirt Yellow 4</t>
  </si>
  <si>
    <t>The North Face Big Boys Moondoggy Hoodie The North Face Black XXSmall</t>
  </si>
  <si>
    <t>NF0A4TJ2JK3</t>
  </si>
  <si>
    <t>Evy of California Minnie Mouse Big Girls Pullove Snow White M 1012</t>
  </si>
  <si>
    <t>KE00371GD13331</t>
  </si>
  <si>
    <t>Epic Threads Toddler Boys Solid Basic Tee, Garnet 3T</t>
  </si>
  <si>
    <t>Nautica Big Boys Heather Twill Suit, 2 Gray 12</t>
  </si>
  <si>
    <t>NDSEE01F-050</t>
  </si>
  <si>
    <t>Kids Headquarters Kids Headquarters Little Girls Blue 6</t>
  </si>
  <si>
    <t>11L22043-99</t>
  </si>
  <si>
    <t>Ring of Fire Big Boys Blaze Padded Bomber J Green Camo L 1416</t>
  </si>
  <si>
    <t>Steve Madden Steve Madden Little Girls Lace Leopard Multi 13</t>
  </si>
  <si>
    <t>Champion Champion Big Girls Sunburst Bo Ice Fall Small</t>
  </si>
  <si>
    <t>CHG056</t>
  </si>
  <si>
    <t>Hybrid Toddler Boys Dog Pile T-shirt Heather Gray 4T</t>
  </si>
  <si>
    <t>2TBPAW0864</t>
  </si>
  <si>
    <t>Steve Madden Steve Madden Little Girls Snea Black 1M</t>
  </si>
  <si>
    <t>Sugar Sugar Little Girls Jackie Doub Pink Snake 11</t>
  </si>
  <si>
    <t>SGK JACKIE</t>
  </si>
  <si>
    <t>ID Ideology Big Girls Fleece Jogger Pants Candy Fizz M 1012</t>
  </si>
  <si>
    <t>Epic Threads Little Boys Camo All Over Prin Artichoke 6</t>
  </si>
  <si>
    <t>Epic Threads Little Boys Camo All Over Prin Artichoke 5</t>
  </si>
  <si>
    <t>Epic Threads Little Girls Stripe Based Legg Ghost Heather 5</t>
  </si>
  <si>
    <t>Tommy Hilfiger Big Girls Granny Gown Assorted M 810</t>
  </si>
  <si>
    <t>ID Ideology Little Girls Quarter-Zip Fleec Lipstick Red 6</t>
  </si>
  <si>
    <t>751008-MA</t>
  </si>
  <si>
    <t>Polo Ralph Lauren Baby Girls Logo Jersey Top L Nevis 18 months</t>
  </si>
  <si>
    <t>First Impressions VELOUR LEGGING Ever Red 6-9 months</t>
  </si>
  <si>
    <t>ID Ideology Big Boys Fleece Jogger Pants Med Htr Grey L</t>
  </si>
  <si>
    <t>First Impressions Baby Boys Green Denim Jeans Green Stem 12 months</t>
  </si>
  <si>
    <t>100118370BB</t>
  </si>
  <si>
    <t>Nike Nike Toddler Boys Sportswear G University Red 4T</t>
  </si>
  <si>
    <t>86I405G</t>
  </si>
  <si>
    <t>Max Olivia Max Olivia Toddler Boys 2 Pi White 2T</t>
  </si>
  <si>
    <t>Columbia Columbia Big Boys Park Jogger Mineral Pink Medium</t>
  </si>
  <si>
    <t>Calvin Klein Big Boys Performance Boxer Bri Green Spacedye L</t>
  </si>
  <si>
    <t>Nike 3BRAND by Russell Wilson 3Brand by Russell Wilson Belie Blue Void Heather L 1416</t>
  </si>
  <si>
    <t>Sleep On It Big Girls Pajama Set, 2 Piece White L 1416</t>
  </si>
  <si>
    <t>Nike 3BRAND by Russell Wilson 3Brand by Russell Wilson Big B Iron Gray S 8</t>
  </si>
  <si>
    <t>Maidenform Little Big Girls 2-Pk. Seaml Navyorchid L 1416</t>
  </si>
  <si>
    <t>Tommy Hilfiger Tommy Hilfiger Little Girls Jo Navy 6X</t>
  </si>
  <si>
    <t>TGFEC02R-405</t>
  </si>
  <si>
    <t>5D001BCLMA</t>
  </si>
  <si>
    <t>Max Olivia Big Girls 3 Piece Top, Pajama Multi 10</t>
  </si>
  <si>
    <t>751268-MA</t>
  </si>
  <si>
    <t>Disney Big Girls Friends Forever Jogg Multi Medium</t>
  </si>
  <si>
    <t>E000032HBG0089</t>
  </si>
  <si>
    <t>Carters Baby Girls Fox Cotton Pajamas Print 24 months</t>
  </si>
  <si>
    <t>1M558410</t>
  </si>
  <si>
    <t>Columbia Columbia Big Boys Park Jogger Mineral Pink Large</t>
  </si>
  <si>
    <t>Champion Little Boys Diagonal Color Blo Scarlet and Navy 4</t>
  </si>
  <si>
    <t>Tommy Hilfiger Tommy Hilfiger Toddler Boys Sa Bright White 2T</t>
  </si>
  <si>
    <t>TBFEM08J-100</t>
  </si>
  <si>
    <t>ID Ideology Toddler Little Girls Sweatpa Violet Light 3T</t>
  </si>
  <si>
    <t>adidas Big Girls Event Hoodie, Plus S Halo Mint L PLUS</t>
  </si>
  <si>
    <t>Tommy Hilfiger Tommy Hilfiger Little Girls Jo Navy 6</t>
  </si>
  <si>
    <t>adidas Big Girls Event Hoodie, Plus S Black M PLUS</t>
  </si>
  <si>
    <t>ID Ideology Big Girls Quarter-Zip Fleece P Lipstick Red S 78</t>
  </si>
  <si>
    <t>Jordan Jordan Little Boys Patch Scrip Gray 7</t>
  </si>
  <si>
    <t>85A368G</t>
  </si>
  <si>
    <t>adidas Big Boys Aeroready Techfit Tig Team Royal Blue 1820</t>
  </si>
  <si>
    <t>Max Olivia Big Girls Base Layer, 2 Piece White XL 1416</t>
  </si>
  <si>
    <t>ID Ideology Little Girls Fleece Sweatshirt Fresh Orchid 5</t>
  </si>
  <si>
    <t>ID Ideology Toddler Little Girls Sweatpa Violet Light 6X</t>
  </si>
  <si>
    <t>Disney Princess Little Girls Frozen Fantasy Go Assorted 6</t>
  </si>
  <si>
    <t>Calvin Klein Big Boys Performance Boxer Bri Green Spacedye M</t>
  </si>
  <si>
    <t>ID Ideology Little Girls Quarter-Zip Fleec Ivory Cloud 6X</t>
  </si>
  <si>
    <t>Calvin Klein Calvin Klein Baby Girls Sherpa White 18M</t>
  </si>
  <si>
    <t>3L03006-99</t>
  </si>
  <si>
    <t>Beautees Big Girls Ruffle Checkered Ska Light Orange 7</t>
  </si>
  <si>
    <t>ID Ideology Little Girls Quarter-Zip Fleec Sweet Alyssum 6</t>
  </si>
  <si>
    <t>First Impressions Baby Girls 3-Pc. Faux-Fur Hood Angora Pink 12 months</t>
  </si>
  <si>
    <t>Tommy Hilfiger Tommy Hilfiger Baby Girls Ruff Gray 24 months</t>
  </si>
  <si>
    <t>Champion Champion Big Girls Leopard Pri White L 1416</t>
  </si>
  <si>
    <t>Epic Threads Big Boys Long Sleeve Solid Che Dirty Sage M 1214</t>
  </si>
  <si>
    <t>adidas Baby Boys Zip Front 3-Stripes Vivid Red 24M</t>
  </si>
  <si>
    <t>AG6338N</t>
  </si>
  <si>
    <t>Disney Toddler Girls Pretty Cute T-sh Blue 3T</t>
  </si>
  <si>
    <t>T000126GHK1083</t>
  </si>
  <si>
    <t>Tommy Hilfiger Tommy Hilfiger Baby Girls Ruff Gray 18 months</t>
  </si>
  <si>
    <t>MINNIE BOW LS TEE</t>
  </si>
  <si>
    <t>T000251GD13421</t>
  </si>
  <si>
    <t>First Impressions Baby Boys Honey Bear Cotton T- True Pine 24 months</t>
  </si>
  <si>
    <t>First Impressions Baby Girls Snowflake Velour To Horizon Blue 12 months</t>
  </si>
  <si>
    <t>Pokemon Little Boys Pokemon Pajamas, 2 Assorted 6</t>
  </si>
  <si>
    <t>PK313BLLMA</t>
  </si>
  <si>
    <t>Epic Threads Toddler Girls All Over Print S Multi 4T</t>
  </si>
  <si>
    <t>Epic Threads Toddler Girls Ruched Heart Kne Lavender Pool 2T</t>
  </si>
  <si>
    <t>First Impressions Baby Boys Husky Pup Long-Sleev Sundrop 18 months</t>
  </si>
  <si>
    <t>First Impressions Baby Girls Scribble Fair Isle Angel White 24 months</t>
  </si>
  <si>
    <t>CB Sports CB Sports Big Boys Puffer Jack Brick 8</t>
  </si>
  <si>
    <t>OBZSD7G</t>
  </si>
  <si>
    <t>Spider-Man Spider-Man Big Boys Pajama, 2 Assorted 8</t>
  </si>
  <si>
    <t>SM209BLLMA</t>
  </si>
  <si>
    <t>Epic Threads Little Boys Short Sleeve Text Cocoa Butter 6</t>
  </si>
  <si>
    <t>100133752LB</t>
  </si>
  <si>
    <t>Levis 502 Regular Taper-Fit Jeans, Pearson 16</t>
  </si>
  <si>
    <t>Levis Boys Regular 514 Slim Straigh Ice Cap 10R</t>
  </si>
  <si>
    <t>Carters Little Big Boys Heathered Fl Heather 4</t>
  </si>
  <si>
    <t>3M724412</t>
  </si>
  <si>
    <t>Nike Nike Baby Girls Mini Me Hoodie Black 12 months</t>
  </si>
  <si>
    <t>16I102G</t>
  </si>
  <si>
    <t>Carters Baby Girls Polka Dot Fleece Dr Blue Newborn</t>
  </si>
  <si>
    <t>1M163310</t>
  </si>
  <si>
    <t>Tommy Hilfiger Tommy Hilfiger Big Girls Side Fiery Coral M 810</t>
  </si>
  <si>
    <t>TGFEC15S-850</t>
  </si>
  <si>
    <t>Champion Champion Big Girls Script All Vivid Fuchsia Large</t>
  </si>
  <si>
    <t>Tommy Hilfiger Little Girls Pieced Logo T-Shi White 5</t>
  </si>
  <si>
    <t>61EG4053-100</t>
  </si>
  <si>
    <t>Jordan Jordan Toddler Boys Sketch Gra Carbon Heather 4T</t>
  </si>
  <si>
    <t>85A994G</t>
  </si>
  <si>
    <t>adidas Toddler Boys Split 3-Stripes T White 3T</t>
  </si>
  <si>
    <t>Champion Toddler Boys Signature Fleece Dark Blue 3T</t>
  </si>
  <si>
    <t>ID Ideology Big Girls Pink Fleece Sweatshi Candy Fizz M 1012</t>
  </si>
  <si>
    <t>Epic Threads Toddler Girls Bow Front Shorti Pink Dogwood 2T</t>
  </si>
  <si>
    <t>First Impressions Baby Girls Snowflake Velour To Horizon Blue 18 months</t>
  </si>
  <si>
    <t>First Impressions Baby Boys Polar Pal Long-Sleev Sterling Hthr 24 months</t>
  </si>
  <si>
    <t>First Impressions Baby Girls 2-Pc.. Bodysuit B Cherry Red 0-3 months</t>
  </si>
  <si>
    <t>100126837BG</t>
  </si>
  <si>
    <t>First Impressions Baby Girls Sleepy Moon Long Sl Angel White 0-3 months</t>
  </si>
  <si>
    <t>Nike Nike Baby Girls Chevron Tricot Black 3 months</t>
  </si>
  <si>
    <t>Epic Threads Little Girls Glitter Tutu Skir Sundrop 6</t>
  </si>
  <si>
    <t>Epic Threads Toddler Girls Heart Graphic T- Pink Dogwood 2T</t>
  </si>
  <si>
    <t>Tommy Hilfiger Tommy Hilfiger Big Boys Script Scarlet Sage L 1618</t>
  </si>
  <si>
    <t>TBFEB08F-649</t>
  </si>
  <si>
    <t>100131136BG</t>
  </si>
  <si>
    <t>Champion Big Boys Diagonal Script Ragla Granite Heather, Dark Berry, P L 1416</t>
  </si>
  <si>
    <t>Levis Boys 511 Performance Jeans Well Worn 20</t>
  </si>
  <si>
    <t>Carters 2-Piece Wild One Bodysuit Pant Blue 12 months</t>
  </si>
  <si>
    <t>Calvin Klein Calvin Klein Baby Girls French Blue 18 months</t>
  </si>
  <si>
    <t>Levis 502 Regular Taper-Fit Jeans, Valencia 18</t>
  </si>
  <si>
    <t>Polo Ralph Lauren Big Boys Holiday Bear Fleece S Madison Red S 810</t>
  </si>
  <si>
    <t>Tommy Hilfiger Baby Boys 2-Pc. Fleece Hoodie Gray 18 months</t>
  </si>
  <si>
    <t>Carters Boys Santa Jersey Top Heather 4T</t>
  </si>
  <si>
    <t>2M063210</t>
  </si>
  <si>
    <t>Nike Nike Big Girls Dri-Fit Tempo R Purple PulseWhite L 14</t>
  </si>
  <si>
    <t>Disney Disney Little Girls T-shirt Lavender 4</t>
  </si>
  <si>
    <t>Hybrid Toddler Boys Teenage Mutant Ni Heather Gray 4T</t>
  </si>
  <si>
    <t>Champion Little Boys Contrast Binding Navy, Scarlet 5</t>
  </si>
  <si>
    <t>Champion Little Boys Signature Hoodie Blue Seaglass 6</t>
  </si>
  <si>
    <t>First Impressions Baby Girls Ombre Stripe Tunic Sunset Flamingo 3-6 months</t>
  </si>
  <si>
    <t>100138600BG</t>
  </si>
  <si>
    <t>Epic Threads Toddler Boys Short Sleeve Soli Bright White 3T</t>
  </si>
  <si>
    <t>First Impressions Baby Boys Hooded Fair Isle Jac Ever Red 6-9 months</t>
  </si>
  <si>
    <t>Minecraft Big Boys Minecraft Pajamas, 4 Assorted 10</t>
  </si>
  <si>
    <t>First Impressions Baby Girls Cotton Ruffle-Trim Blossom Mist 3-6 months</t>
  </si>
  <si>
    <t>Calvin Klein Calvin Klein Big Boys Holiday Lipstick Red 12</t>
  </si>
  <si>
    <t>Steve Madden Steve Madden Big Boys Lace Up Cognac 5M</t>
  </si>
  <si>
    <t>BCHUKA</t>
  </si>
  <si>
    <t>POLYURETHANE UPPER, JERSEY AND POLYURETHANE LINING, THERMOPLASTIC RUBBER SOLE</t>
  </si>
  <si>
    <t>JRAZZ</t>
  </si>
  <si>
    <t>Tommy Hilfiger Tommy Hilfiger Little Boys Mat Gray Heather 5</t>
  </si>
  <si>
    <t>TBFEB12J-004</t>
  </si>
  <si>
    <t>Nike Nike Toddler Boys Quilted Swoo University Red 2T</t>
  </si>
  <si>
    <t>Nautica Boys Uniform Performance Polo Hunter L 1416</t>
  </si>
  <si>
    <t>BCX Big Girls Contrast Sequin Lace Black 8</t>
  </si>
  <si>
    <t>Disney Little Boys Lighting McQueen S Orange 6</t>
  </si>
  <si>
    <t>2MLS0363</t>
  </si>
  <si>
    <t>Under Armour Under Armour Big Boys Tech Big Matcha Green S 810</t>
  </si>
  <si>
    <t>Max Olivia Baby Girls Blanket Gripper Sol Multi 18M</t>
  </si>
  <si>
    <t>351273-MA</t>
  </si>
  <si>
    <t>Speechless Speechless Big Girls Button Fr Pink Small</t>
  </si>
  <si>
    <t>Q3717D01JD60</t>
  </si>
  <si>
    <t>Nautica Little Girls Tie Dye Jogger Multi Tie Dye L 6</t>
  </si>
  <si>
    <t>NUFEC04R-990</t>
  </si>
  <si>
    <t>Epic Threads Toddler Boys Solid Knit Moto J Charcoal Heather 2T</t>
  </si>
  <si>
    <t>100072174LB</t>
  </si>
  <si>
    <t>Epic Threads Epic Threads Little Girls All Peacoat 6</t>
  </si>
  <si>
    <t>100133005LG</t>
  </si>
  <si>
    <t>Nautica Big Girls Short Sleeve Perform Red L 1214</t>
  </si>
  <si>
    <t>NDA0358E</t>
  </si>
  <si>
    <t>Tommy Hilfiger Big Boys Mix-Media Pieced 1-1 Tan M 26-28</t>
  </si>
  <si>
    <t>12TL01XZ09</t>
  </si>
  <si>
    <t>NAUTICA/RANDA ACCESSORIES LEATHER</t>
  </si>
  <si>
    <t>POLYURETHANE/LEATHER/POLYESTER</t>
  </si>
  <si>
    <t>First Impressions Baby Boys or Girls Pineapple B Sunset Gold ONE SIZE</t>
  </si>
  <si>
    <t>First Impressions Baby Boys Tropical-Print Tank Bright White 24 months</t>
  </si>
  <si>
    <t>100043929BB</t>
  </si>
  <si>
    <t>Breaking Waves Big Girls 1-Pc. Printed Strapp Multi 14</t>
  </si>
  <si>
    <t>MBW270003</t>
  </si>
  <si>
    <t>BREAKING WAVES GIRLS</t>
  </si>
  <si>
    <t>SHELL: NYLON/SPANDEX</t>
  </si>
  <si>
    <t>Hybrid Toddler Boys Star Wars Battle Lt Blue 2T</t>
  </si>
  <si>
    <t>2TSWC4849</t>
  </si>
  <si>
    <t>Carters Big Girls Cheetah Loose Fit Pa White 8</t>
  </si>
  <si>
    <t>Lacoste Big Boys Sport Long Sleeve Ful NidusSilver 14</t>
  </si>
  <si>
    <t>SJ2903</t>
  </si>
  <si>
    <t>LACOSTE USA</t>
  </si>
  <si>
    <t>Imperial Star Big Girls Fleece Joggers Blue Tie Dye XL</t>
  </si>
  <si>
    <t>IS421E1583</t>
  </si>
  <si>
    <t>Carters Baby Girls 2 Piece Chambray To Blue Newborn</t>
  </si>
  <si>
    <t>1M007110</t>
  </si>
  <si>
    <t>Under Armour Under Armour Toddler Boys Symb Academy 2T</t>
  </si>
  <si>
    <t>UASEA35J-410</t>
  </si>
  <si>
    <t>GIRLS LS TOP WSCRUNCHIE</t>
  </si>
  <si>
    <t>YQ45102B</t>
  </si>
  <si>
    <t>Nautica Big Girls Basketweave Scooter Navy 10</t>
  </si>
  <si>
    <t>NDF0144E</t>
  </si>
  <si>
    <t>POLYESTER/SPANDEX; SHORTS: POLYESTER</t>
  </si>
  <si>
    <t>Max Olivia Max Olivia Baby Girls 2 Piec Navy 24 months</t>
  </si>
  <si>
    <t>Speechless Speechless Big Girls Button Fr Gray Medium</t>
  </si>
  <si>
    <t>Hybrid Little Boys Superman Hero Acti Electric Blue 4</t>
  </si>
  <si>
    <t>2JDCB1859</t>
  </si>
  <si>
    <t>Tommy Hilfiger Tommy Hilfiger Little Girls Ru Assorted 5</t>
  </si>
  <si>
    <t>TGFDI51V-999</t>
  </si>
  <si>
    <t>Carters Little Girls Cotton Cupcakes C Pink 6</t>
  </si>
  <si>
    <t>3K553510</t>
  </si>
  <si>
    <t>Rare Editions Big Girls 2-Piece Tie Dye Prin Olive 10</t>
  </si>
  <si>
    <t>F492511</t>
  </si>
  <si>
    <t>HUABB02KH-100</t>
  </si>
  <si>
    <t>Koala Baby Koala Baby Girls 2 Piece Quilt Orchid Bloom 6-9 months</t>
  </si>
  <si>
    <t>KLF01752</t>
  </si>
  <si>
    <t>Ralph Lauren Girls or Little Girls 6-Pack PinkTurquoise Assorted 9-11</t>
  </si>
  <si>
    <t>G40017GPK2</t>
  </si>
  <si>
    <t>POLO RALPH LAUREN-HOT SOX GIRLS</t>
  </si>
  <si>
    <t>First Impressions Baby Boys Cotton Shorts Deep Black 18 months</t>
  </si>
  <si>
    <t>100041908BB</t>
  </si>
  <si>
    <t>Carters Little Big Boys 2-Pk. Cotton Basic White 8</t>
  </si>
  <si>
    <t>WILLIAM CARTER CO-UNDERWEAR BOYS</t>
  </si>
  <si>
    <t>Epic Threads Little Boys V-Neck Basic Tee, Peacoat 5</t>
  </si>
  <si>
    <t>100129409LB</t>
  </si>
  <si>
    <t>Tommy Hilfiger Tommy Hilfiger Big Boys Dot Ve Gray Heather S 810</t>
  </si>
  <si>
    <t>TBFEB1EF-004</t>
  </si>
  <si>
    <t>Carters Baby Girls Bunny 2-Way Zip Cot Gray 9 months</t>
  </si>
  <si>
    <t>1L734910</t>
  </si>
  <si>
    <t>Blueberi Boulevard Baby Girls 4 Piece Printed Dre Multi 12 months</t>
  </si>
  <si>
    <t>MAB13370</t>
  </si>
  <si>
    <t>Speechless Speechless Big Girls Button Fr Pink Large</t>
  </si>
  <si>
    <t>Mac Moon Toddler Boys Chameleon Pajama Green Multi 2T</t>
  </si>
  <si>
    <t>DS21M1558</t>
  </si>
  <si>
    <t>Calvin Klein Calvin Klein Baby Girls 2 Piec Pink 12 months</t>
  </si>
  <si>
    <t>3K02080-99</t>
  </si>
  <si>
    <t>Tommy Hilfiger Tommy Hilfiger Big Boys Lucia Baker Blue L 1618</t>
  </si>
  <si>
    <t>TBFEB96F-438</t>
  </si>
  <si>
    <t>Tommy Hilfiger Tommy Hilfiger Big Girls Tie F Navy S 7</t>
  </si>
  <si>
    <t>TGTEB03S-405</t>
  </si>
  <si>
    <t>Epic Threads Big Girls Long Sleeve Cold Sho Rugged Tan Large</t>
  </si>
  <si>
    <t>100133532GR</t>
  </si>
  <si>
    <t>Nautica Girls Stretch Skinny Pants Navy 6</t>
  </si>
  <si>
    <t>NCD0024E</t>
  </si>
  <si>
    <t>6 REG</t>
  </si>
  <si>
    <t>Calvin Klein Calvin Klein Big Boys Skinny J Asphalt 16</t>
  </si>
  <si>
    <t>CKFEC01F-002</t>
  </si>
  <si>
    <t>Touched by Nature Touched by Nature Toddler Boys Solid Blue Black 2T-4T</t>
  </si>
  <si>
    <t>63141-4</t>
  </si>
  <si>
    <t>TWEEN</t>
  </si>
  <si>
    <t>TWEEN7-CR</t>
  </si>
  <si>
    <t>First Impressions Baby Girls Cotton Chambray Rom Dark Chambray 6-9 months</t>
  </si>
  <si>
    <t>100042535BG</t>
  </si>
  <si>
    <t>Carters Big Girls Printed Twist-Front Print 10</t>
  </si>
  <si>
    <t>3M781110</t>
  </si>
  <si>
    <t>Quiksilver Quiksilver Big Boys Sun Faded Tarmac 28</t>
  </si>
  <si>
    <t>EQBBS03591</t>
  </si>
  <si>
    <t>ID Ideology Toddler Girls Tie-Dye Leggings Ocean Spray 2T</t>
  </si>
  <si>
    <t>100121919LG</t>
  </si>
  <si>
    <t>Bonnie Jean Big Girls Long Sleeves Velvet Navy 16</t>
  </si>
  <si>
    <t>Tommy Hilfiger Tommy Hilfiger Big Girls Tie F Navy M 810</t>
  </si>
  <si>
    <t>Tommy Hilfiger Tommy Hilfiger Little Girls St Navy 6</t>
  </si>
  <si>
    <t>TGTEH07V-405</t>
  </si>
  <si>
    <t>ID Ideology Big Girls Power Top Rose Shadow S 78</t>
  </si>
  <si>
    <t>adidas adidas Big Girls Trefoil Hoodi Pink L</t>
  </si>
  <si>
    <t>GN8258</t>
  </si>
  <si>
    <t>Calvin Klein Calvin Klein Big Girls Mirror Black S 7</t>
  </si>
  <si>
    <t>CKFEA17S-003</t>
  </si>
  <si>
    <t>Calvin Klein Calvin Klein Big Boys Gold Ton White M 1012</t>
  </si>
  <si>
    <t>CKFEB12F-100</t>
  </si>
  <si>
    <t>Champion Big Boys Essential Logo Script White L 1416</t>
  </si>
  <si>
    <t>8521CB</t>
  </si>
  <si>
    <t>Jordan Jordan Big Boys Mash Up Logo P White S 8</t>
  </si>
  <si>
    <t>95A715G</t>
  </si>
  <si>
    <t>Epic Threads Little Girls Mermaid-Print T-S Holiday Ivory 5</t>
  </si>
  <si>
    <t>100046382LG</t>
  </si>
  <si>
    <t>First Impressions Baby Girls Cotton Chambray Rom Dark Chambray 18 months</t>
  </si>
  <si>
    <t>YQ45093A</t>
  </si>
  <si>
    <t>Epic Threads Little Boys Long Sleeve Color Bright White 7</t>
  </si>
  <si>
    <t>100133709LB</t>
  </si>
  <si>
    <t>Carters Big Girls 4-Piece Pajama Set Print 8</t>
  </si>
  <si>
    <t>3I559710</t>
  </si>
  <si>
    <t>ID Ideology Little Girls Printed Caged Leg Marble Fizz 5</t>
  </si>
  <si>
    <t>100092140LG</t>
  </si>
  <si>
    <t>GUESS Big Girls Stretch Skinny Jeans Gray XL 14</t>
  </si>
  <si>
    <t>J93A19D3SD0</t>
  </si>
  <si>
    <t>LOL Surprise LOL Surprise Big Girls Pajama Assorted 10</t>
  </si>
  <si>
    <t>LZ184GTSMA</t>
  </si>
  <si>
    <t>Speechless Speechless Big Girls Button Fr Gray Large</t>
  </si>
  <si>
    <t>FULL LS TOP W/ TALL CUFF</t>
  </si>
  <si>
    <t>31C713F</t>
  </si>
  <si>
    <t>Beautees Big Girls Long Sleeve Top Heather Gray Medium</t>
  </si>
  <si>
    <t>Calvin Klein Calvin Klein Big Girls Color-b Natural L 1214</t>
  </si>
  <si>
    <t>CKTEA06S-101</t>
  </si>
  <si>
    <t>Calvin Klein Calvin Klein Big Girls Sequin Turquoise 8</t>
  </si>
  <si>
    <t>CKFEC09S-441</t>
  </si>
  <si>
    <t>Timberland Big Boys Camo Blocked T-shirt Black S 8</t>
  </si>
  <si>
    <t>TLFEB15F-001</t>
  </si>
  <si>
    <t>Nautica Nautica Plus Girls 5 Pocket St Navy 20 Plus</t>
  </si>
  <si>
    <t>NUFBC039-414</t>
  </si>
  <si>
    <t>First Impressions 2-Pk. Stars Stripes Cotton B White Comb ONE SIZE</t>
  </si>
  <si>
    <t>2355FI410</t>
  </si>
  <si>
    <t>FIRST IMPRESSIONS-EDI/IMPACT IMPORT</t>
  </si>
  <si>
    <t>FRONT: COTTON; BACK: COTTON/POLYESTER</t>
  </si>
  <si>
    <t>First Impressions Baby Girls Watermelon Sun Hat Matador Red 0-6 months</t>
  </si>
  <si>
    <t>100053796BG</t>
  </si>
  <si>
    <t>POLYESTER/COTTON/SPANDEX</t>
  </si>
  <si>
    <t>Star Wars Little One is Strong Short Sle Charcoal Heather 7</t>
  </si>
  <si>
    <t>2JSWM0344</t>
  </si>
  <si>
    <t>Beautees Big Girls Tie Back Strap Heart Aqua Large</t>
  </si>
  <si>
    <t>7711Y56</t>
  </si>
  <si>
    <t>Nautica Big Girls Bell-Sleeve Polo Shi Navy XL 16</t>
  </si>
  <si>
    <t>NDA0396E</t>
  </si>
  <si>
    <t>Epic Threads Big Girls Solid Basic Tee, Cre Candy Fizz L 1416</t>
  </si>
  <si>
    <t>ID Ideology Little Girls Tie-Dye Leggings Fresh Orchid 6X</t>
  </si>
  <si>
    <t>Champion Champion Little Girls Solid Va Blue Mist 5</t>
  </si>
  <si>
    <t>2562CG</t>
  </si>
  <si>
    <t>Beautees Big Girls Tie Back Strap Heart Aqua Small</t>
  </si>
  <si>
    <t>Carters Baby Boys Camo Knit Shorts Green 9 months</t>
  </si>
  <si>
    <t>1I546710</t>
  </si>
  <si>
    <t>Calvin Klein 3-Pack Cotton Briefs, Toddler, Classic White S 67</t>
  </si>
  <si>
    <t>First Impressions Baby Girls Watermelon Sun Hat Matador Red 6-12 months</t>
  </si>
  <si>
    <t>First Impressions Baby Girls Cotton Chambray Rom Dark Chambray 24 months</t>
  </si>
  <si>
    <t>Champion Little Boys Box Outline Script Sweet Green 7</t>
  </si>
  <si>
    <t>5215CB</t>
  </si>
  <si>
    <t>Disney Princess Disney Princess Little Girls N Assorted 6</t>
  </si>
  <si>
    <t>DP593GGSMA</t>
  </si>
  <si>
    <t>Beautees Big Girls Shirttail Magic Unic Pink Small</t>
  </si>
  <si>
    <t>7731J48</t>
  </si>
  <si>
    <t>Hybrid Toddler Boys Space Bundle Flee Oatmeal Royal 4T</t>
  </si>
  <si>
    <t>2TNAS1129</t>
  </si>
  <si>
    <t>Epic Threads Epic Threads Little Girls Shor Navy 6X</t>
  </si>
  <si>
    <t>100106459LG</t>
  </si>
  <si>
    <t>Tommy Hilfiger Tommy Hilfiger Little Boys Kyl Gray Heather 4</t>
  </si>
  <si>
    <t>TBFEB0DJ-004</t>
  </si>
  <si>
    <t>Hybrid Toddler Boys The Child Bundle Charcoal Heather Gray 4T</t>
  </si>
  <si>
    <t>Calvin Klein Calvin Klein Big Girls Sequin Turquoise 14</t>
  </si>
  <si>
    <t>Disney Big Girls Hello Kitty Pullover Pink Small</t>
  </si>
  <si>
    <t>E000079GHK1085</t>
  </si>
  <si>
    <t>Speechless Speechless Big Girls Baby Doll Ivory Medium</t>
  </si>
  <si>
    <t>Q3474D02JB81</t>
  </si>
  <si>
    <t>Tommy Hilfiger Tommy Hilfiger Big Boys Mini D Natural L 1618</t>
  </si>
  <si>
    <t>TBFDC07F-103</t>
  </si>
  <si>
    <t>Trimfit Little Big Girls 2-Pk. Shimm Floral Pinksilver 6-8</t>
  </si>
  <si>
    <t>PRINTED: NYLON/SPANDEX; SHIMMER: NYLON/LUREX® METALLIC THREADS/SPANDEX</t>
  </si>
  <si>
    <t>First Impressions Baby Boys Cotton Shorts Deep Black 3-6 months</t>
  </si>
  <si>
    <t>Carters Toddler Girls 4-Pc. Kitten Cot Pink 2T</t>
  </si>
  <si>
    <t>2I554110</t>
  </si>
  <si>
    <t>BIG WINK HK LS TEE</t>
  </si>
  <si>
    <t>T000251GHK1117</t>
  </si>
  <si>
    <t>YQ45102C</t>
  </si>
  <si>
    <t>SPIDER-MAN REPEAT</t>
  </si>
  <si>
    <t>2BMVL1979</t>
  </si>
  <si>
    <t>Epic Threads Toddler Boys Long Sleeve Solid Deep Black 3T</t>
  </si>
  <si>
    <t>Levis Levis Little Boys Logo T-shir Light Gray Heather 7</t>
  </si>
  <si>
    <t>81D584F</t>
  </si>
  <si>
    <t>Carters Carters Little Girls Tropical White 6</t>
  </si>
  <si>
    <t>3K477410</t>
  </si>
  <si>
    <t>Nautica Big Girls Basketweave Scooter Navy 7</t>
  </si>
  <si>
    <t>Champion Big Boys C Script Box Outlin Bozetto Blue Large</t>
  </si>
  <si>
    <t>8096CB</t>
  </si>
  <si>
    <t>Nike Nike Big Boys Dri-Fit Training Football Gray M 1012</t>
  </si>
  <si>
    <t>MADE IN THAILAND</t>
  </si>
  <si>
    <t>Carters Toddler Girls Faux Denim Leggi Blue 5T</t>
  </si>
  <si>
    <t>2M077410</t>
  </si>
  <si>
    <t>Tommy Hilfiger Tommy Hilfiger Big Boys Dot Ve Gray Heather M 1214</t>
  </si>
  <si>
    <t>Speechless Speechless Big Girls Printed B Burgundy Large</t>
  </si>
  <si>
    <t>Q3612D01F492</t>
  </si>
  <si>
    <t>adidas adidas Big Girls SST Track Jac Pink M</t>
  </si>
  <si>
    <t>GN8450</t>
  </si>
  <si>
    <t>Tommy Hilfiger Tommy Hilfiger Big Boys Dot Ca Dark Blue XL 20</t>
  </si>
  <si>
    <t>TBFDC00F-405</t>
  </si>
  <si>
    <t>Epic Threads Big Boys Long Sleeve Thermal S Medium Heather Gray X-Large</t>
  </si>
  <si>
    <t>100133725BO</t>
  </si>
  <si>
    <t>Jordan Jordan Big Boys Sport Essentia Black, White S 8</t>
  </si>
  <si>
    <t>95A866G</t>
  </si>
  <si>
    <t>Calvin Klein Little Big Boys 2-Pk. Boxer Pave Logo Red Black Iris 600 S 68</t>
  </si>
  <si>
    <t>M5131</t>
  </si>
  <si>
    <t>Trimfit Little Big Girls 2-Pk. Opaqu Black 6-8</t>
  </si>
  <si>
    <t>First Impressions Baby Girls Cotton Chambray Rom Dark Chambray 12 months</t>
  </si>
  <si>
    <t>First Impressions Baby Boys or Girls 3-Pack Frui Multi 0-6 months</t>
  </si>
  <si>
    <t>COTTON/NYLON/SPANDEX</t>
  </si>
  <si>
    <t>First Impressions Baby Girls Corduroy Pants Cherry Red 3-6 months</t>
  </si>
  <si>
    <t>Epic Threads Little Girls Happiness T-shirt Angel White 5</t>
  </si>
  <si>
    <t>Epic Threads Big Girls Cozy Fleece Jogger Steel Gray Small</t>
  </si>
  <si>
    <t>First Impressions Baby Boys Metallic Faux Leathe Silver Metallic 6-9 months</t>
  </si>
  <si>
    <t>Epic Threads Epic Threads Toddler Girls Wat Pink 4T</t>
  </si>
  <si>
    <t>LORENA</t>
  </si>
  <si>
    <t>CF21B08H</t>
  </si>
  <si>
    <t>Epic Threads Toddler Girls Seeing Red Long Pink Dogwood 2T</t>
  </si>
  <si>
    <t>Epic Threads Big Boys Solid Sherpa Joggers Deep Black S 810</t>
  </si>
  <si>
    <t>Epic Threads Epic Threads Toddler Girls Wat First Lilac 4T</t>
  </si>
  <si>
    <t>100133076LG</t>
  </si>
  <si>
    <t>Epic Threads Epic Threads Toddler Girls Wat Deep Black 3T</t>
  </si>
  <si>
    <t>100133083LG</t>
  </si>
  <si>
    <t>Hybrid Big Boys NASA Ship Short Sleev Navy Large</t>
  </si>
  <si>
    <t>2YNAS1132</t>
  </si>
  <si>
    <t>Epic Threads Little Girls Happiness T-shirt Angel White 6</t>
  </si>
  <si>
    <t>Hybrid Toddler Boys Be Brave and Stro Charcoal Snow 2T</t>
  </si>
  <si>
    <t>Epic Threads Little Girls Happiness T-shirt Angel White 6X</t>
  </si>
  <si>
    <t>Super Mario Toddler Boys Mario Poses Short Heather Oatmeal 2T</t>
  </si>
  <si>
    <t>BILLIE</t>
  </si>
  <si>
    <t>CF21F03H</t>
  </si>
  <si>
    <t>Epic Threads Big Boys Solid Sherpa Joggers Inkspill S 810</t>
  </si>
  <si>
    <t>Epic Threads Toddler Girls Heart All-Over P Holiday Ivory 4T</t>
  </si>
  <si>
    <t>100138313LG</t>
  </si>
  <si>
    <t>Epic Threads Toddler Girls Good Vibes Long Angel White 3T</t>
  </si>
  <si>
    <t>DAMON</t>
  </si>
  <si>
    <t>CF21G11H</t>
  </si>
  <si>
    <t>Epic Threads Toddler Girls 3D Heart Pocket Deep Black 3T</t>
  </si>
  <si>
    <t>First Impressions Baby Boys 2-Pc. Long-Sleeve In Lt Medium 24 months</t>
  </si>
  <si>
    <t>ID Ideology Big Girls Rainbow-Leg Fleece J Rose Shadow XXL 18</t>
  </si>
  <si>
    <t>Epic Threads Epic Threads Little Girls Wate Pink 6</t>
  </si>
  <si>
    <t>Columbia Toddler Boys Girls Double Tr Black 3T</t>
  </si>
  <si>
    <t>Carters Toddler Boys 2-Pc. Fleece Bear Assorted 3T</t>
  </si>
  <si>
    <t>Timberland Big Boys Tree Zip Hoodie Wheat XL 1820</t>
  </si>
  <si>
    <t>Champion Little Boys Camo Script Signat Cargo Olive 5</t>
  </si>
  <si>
    <t>ID Ideology Big Girls Sherpa Yoke Zipper H Pebble Hthr XL 16</t>
  </si>
  <si>
    <t>100136608GR</t>
  </si>
  <si>
    <t>adidas Big Boys Event Hoodie Collegiate Green S 8</t>
  </si>
  <si>
    <t>ID Ideology Toddler Girls Quarter-Zip Flee Chic Pink 4T</t>
  </si>
  <si>
    <t>Epic Threads Toddler Girls Ruffle-Hem All-O Cherry Flame 2T</t>
  </si>
  <si>
    <t>Epic Threads Little Girls Rainbow T-shirt Sundrop 6X</t>
  </si>
  <si>
    <t>Maidenform Little Big Girls Cropped Ruc White Tiny Stripes M 78</t>
  </si>
  <si>
    <t>ID Ideology Little Girls Fleece Jogger Pan Fresh Orchid 6X</t>
  </si>
  <si>
    <t>Epic Threads Toddler Girls Solid Skirt Legg Ghost Heather 2T</t>
  </si>
  <si>
    <t>Frozen 2 Frozen 2 Toddler Girls Pajama, Assorted 2T</t>
  </si>
  <si>
    <t>Tommy Hilfiger Big Boys Pajama Set, 2 Piece Assorted M 810</t>
  </si>
  <si>
    <t>New Balance Big Boys Core Short Sleeve T-s Green Camo M 1012</t>
  </si>
  <si>
    <t>LAK12J28SYE</t>
  </si>
  <si>
    <t>NEW BALANCE/KIDZ CONCEPTS LLC</t>
  </si>
  <si>
    <t>Hybrid Little Boys Batman Another Day Black 7</t>
  </si>
  <si>
    <t>PAW Patrol Toddler Boys PAW Patrol Short Gray Combo 4T</t>
  </si>
  <si>
    <t>First Impressions Baby Boys 2-Pc. Hooded Bodysui Light Grey Heather 18 months</t>
  </si>
  <si>
    <t>100135700BB</t>
  </si>
  <si>
    <t>First Impressions Toddler Girl T Fairisle Tunic Foxglove 24 months</t>
  </si>
  <si>
    <t>First Impressions Baby Girls Solid Smocked Rompe Coral Freeze 3-6 months</t>
  </si>
  <si>
    <t>Epic Threads Toddler Girls Candy Graphic T- Lavender Pool 2T</t>
  </si>
  <si>
    <t>First Impressions Baby Girls Puppy Stroll Short- Sunset Flamingo 3-6 months</t>
  </si>
  <si>
    <t>100138601BG</t>
  </si>
  <si>
    <t>First Impressions Baby Girls Flutter Tunic, Crea Cherry Flame 12 months</t>
  </si>
  <si>
    <t>First Impressions Baby Girls Unicorn Top Blue Billow 18 months</t>
  </si>
  <si>
    <t>100138702BG</t>
  </si>
  <si>
    <t>First Impressions Baby Boys Striped Coverall Angel White 12 months</t>
  </si>
  <si>
    <t>Champion Big Boys Script Over T-Shirt White Small</t>
  </si>
  <si>
    <t>Timberland Big Boys Tree Zip Hoodie Wheat S 8</t>
  </si>
  <si>
    <t>Polo Ralph Lauren Big Boys Big Pony Fleece Full Starboard Red L 1416</t>
  </si>
  <si>
    <t>ID Ideology Big Girls Sherpa Yoke Zipper H Pebble Hthr L 14</t>
  </si>
  <si>
    <t>DRAFT - Kids Headquarters Litt Pink 4</t>
  </si>
  <si>
    <t>11L22009-99</t>
  </si>
  <si>
    <t>Cocomelon Baby Girls 2-Pc. Pajamas Set Pink Coral 4T</t>
  </si>
  <si>
    <t>K219762CM</t>
  </si>
  <si>
    <t>Nike Nike Little Girls Sportswear P Charcoal Heather 6X</t>
  </si>
  <si>
    <t>36I086G</t>
  </si>
  <si>
    <t>ID Ideology Little Girl Rainbow Fleece Hoo Rose Shadow 4T</t>
  </si>
  <si>
    <t>DRAFT - Kids Headquarters Todd Gray 3T</t>
  </si>
  <si>
    <t>Carters Toddler Girls Merry And Bright Red 4T</t>
  </si>
  <si>
    <t>2M026410</t>
  </si>
  <si>
    <t>Epic Threads Toddler Girls Seeing Red Long Holiday Ivory 2T</t>
  </si>
  <si>
    <t>adidas Little Boys Core 3 Stripes Jog Charcoal Gray Heather 4</t>
  </si>
  <si>
    <t>First Impressions Toddler Girls Velour Ruffle Sw Sundrop 3T</t>
  </si>
  <si>
    <t>First Impressions Baby Girl Slv Ruffle Hoodie Cherry Red 12 months</t>
  </si>
  <si>
    <t>First Impressions Baby Girls Soft Serve T-Shirt, Aqua Wash 3-6 months</t>
  </si>
  <si>
    <t>First Impressions Baby Girls Faux Sherpa Fleece Neo Natural 18 months</t>
  </si>
  <si>
    <t>Epic Threads Toddler Boys All Over Print Th Soft Chambray 4T</t>
  </si>
  <si>
    <t>First Impressions Baby Boys Metallic Faux Leathe Silver Metallic 0-3 months</t>
  </si>
  <si>
    <t>Champion Big Boys All Over Print Signat Camo Concrete Small</t>
  </si>
  <si>
    <t>Tommy Hilfiger Little Boys Knockout Logo Hood Navy Blazer 7</t>
  </si>
  <si>
    <t>ID Ideology Big Girls Quarter-Zip Fleece P Pink Polish L 14</t>
  </si>
  <si>
    <t>Beautees Big Girls Sherpa Denim Jacket Ivory Medium</t>
  </si>
  <si>
    <t>Epic Threads Toddler Girls Cable Knit Sweat Pink Shine 4T</t>
  </si>
  <si>
    <t>Epic Threads Little Girls Solid Velour Swea Sugar Blue 6</t>
  </si>
  <si>
    <t>Epic Threads Big Girls Cozy Fleece Jogger Frosted Gray XLarge</t>
  </si>
  <si>
    <t>First Impressions SHORT SLEEVE SKATER GIRL TEE Angel White 2T</t>
  </si>
  <si>
    <t>100138697TG</t>
  </si>
  <si>
    <t>Disney Disney Little Girls Hello Kitt Snow White 5</t>
  </si>
  <si>
    <t>First Impressions Toddler Boys Cotton Rib-Trim J Salmon Creek 3T</t>
  </si>
  <si>
    <t>Epic Threads Toddler Girls Graphic Balloon Holiday Ivory 3T</t>
  </si>
  <si>
    <t>Carters Toddler Girls 2-Pc. Floral-Pri Assorted 4T</t>
  </si>
  <si>
    <t>Epic Threads Big Boys Short Sleeve All Over Bright White L 1618</t>
  </si>
  <si>
    <t>100137294TG</t>
  </si>
  <si>
    <t>PAW Patrol Little Boys PAW Patrol Short S Gray Combo 6</t>
  </si>
  <si>
    <t>Max Olivia Big Girls 2 Piece Santa Sleep Red M 78</t>
  </si>
  <si>
    <t>150338-MA</t>
  </si>
  <si>
    <t>First Impressions Baby Girls Sleepy Moon Long Sl Angel White 6-9 months</t>
  </si>
  <si>
    <t>First Impressions Baby Girls Ruffle Hoodie Pebble Hthr 24 months</t>
  </si>
  <si>
    <t>100130856BG</t>
  </si>
  <si>
    <t>First Impressions Baby Girl Slv Ruffle Hoodie Cherry Red 24 months</t>
  </si>
  <si>
    <t>First Impressions Toddler Girls Sparkle Soft Ser Aqua Wash 3T</t>
  </si>
  <si>
    <t>100137330TG</t>
  </si>
  <si>
    <t>Polo Ralph Lauren Toddler Girls Logo Fleece Jogg Black 4T</t>
  </si>
  <si>
    <t>Carters Alligator French Terry Jumpsui Gray 9 months</t>
  </si>
  <si>
    <t>Jordan Jordan Big Boys Graphic T-shir White L 1416</t>
  </si>
  <si>
    <t>95A995G</t>
  </si>
  <si>
    <t>ID Ideology Big Girls Quarter-Zip Fleece P Lipstick Red L 14</t>
  </si>
  <si>
    <t>Epic Threads Little Girls Seeing Red Long S Holiday Ivory 5</t>
  </si>
  <si>
    <t>First Impressions Baby Girls Love Stars Long Sle Blossom Mist 0-3 months</t>
  </si>
  <si>
    <t>Epic Threads Little Girls Heart Graphic T-s Pink Dogwood 6</t>
  </si>
  <si>
    <t>Epic Threads Toddler Girls Always Chase You Strawberry Pink 2T</t>
  </si>
  <si>
    <t>First Impressions Toddler Girls Sugar Splash Tie Angel White 3T</t>
  </si>
  <si>
    <t>ID Ideology Toddler Little Girls Girls Rose Shadow 5</t>
  </si>
  <si>
    <t>Maidenform Lace-Trim Underwear, Little Pink Hue M 78</t>
  </si>
  <si>
    <t>adidas Little Boys Long Sleeve Double Black 5</t>
  </si>
  <si>
    <t>Epic Threads Big Boys Short Sleeve Graphic Deep Black S 810</t>
  </si>
  <si>
    <t>adidas adidas Little Boys Short Sleev Medium Gray Heather 6</t>
  </si>
  <si>
    <t>Hybrid Little Boys Be Brave and Stron Charcoal Snow 6</t>
  </si>
  <si>
    <t>Carters 1-Piece Bunny 100 Snug Fit Co Pink 24 months</t>
  </si>
  <si>
    <t>1J208510</t>
  </si>
  <si>
    <t>Epic Threads Big Girls Fair Isle Fleece Lin Violet Light S 810</t>
  </si>
  <si>
    <t>First Impressions Toddler Girls Rainbow Long-Sle Washed Indigo 4T</t>
  </si>
  <si>
    <t>First Impressions Baby Girls Sundae Funday T-Shi Angel White 18 months</t>
  </si>
  <si>
    <t>Carters 4-Piece Unicorn 100 Snug Fit Blue 12 months</t>
  </si>
  <si>
    <t>1M619910</t>
  </si>
  <si>
    <t>First Impressions Baby Girls Sweetheart Dot Cove Sundrop 6-9 months</t>
  </si>
  <si>
    <t>Carters Baby Girls Flutter Jersey Sun White 18 months</t>
  </si>
  <si>
    <t>1L734610</t>
  </si>
  <si>
    <t>Carters Baby Girls Snug-Fit Fox Cotton Blue 24 months</t>
  </si>
  <si>
    <t>1J207910</t>
  </si>
  <si>
    <t>Tommy Hilfiger Little Boys Knockout Logo Hood Navy Blazer 6</t>
  </si>
  <si>
    <t>First Impressions Toddler Girls Lollipop-Print T Storm Grey Hthr 2T</t>
  </si>
  <si>
    <t>100131142TG</t>
  </si>
  <si>
    <t>ID Ideology Little Girls Quarter-Zip Fleec Pink Polish 6</t>
  </si>
  <si>
    <t>First Impressions Toddler Girls Rainbow T-Shirt Washed Indigo 2T</t>
  </si>
  <si>
    <t>100138605TG</t>
  </si>
  <si>
    <t>ID Ideology Big Girls Tie-Dyed Jogger Pant Fresh Orchid S 78</t>
  </si>
  <si>
    <t>100121899GR</t>
  </si>
  <si>
    <t>Under Armour Big Girls Motion Leggings Black Large</t>
  </si>
  <si>
    <t>Epic Threads Big Girls Cozy Fleece Jogger Frosted Gray Small</t>
  </si>
  <si>
    <t>Maidenform Little Big Girls Cropped Ruc Red Gold Stars M 78</t>
  </si>
  <si>
    <t>Hybrid Big Boys Game Over Long Sleeve Oatmeal Heather Medium</t>
  </si>
  <si>
    <t>2YBMCT0026</t>
  </si>
  <si>
    <t>Univibe Big Boys Pier Sprayed T-Shirt Black S 8</t>
  </si>
  <si>
    <t>Champion Little Boys Camo Script Signat Cargo Olive 7</t>
  </si>
  <si>
    <t>First Impressions Toddler Girls Cheetah Long-Sle Light Grey Heather 4T</t>
  </si>
  <si>
    <t>First Impressions Baby Girls Cupcakes Coverall Sunset Flamingo 3-6 months</t>
  </si>
  <si>
    <t>First Impressions Baby Girls Solid Smocked Rompe Coral Freeze 18 months</t>
  </si>
  <si>
    <t>Epic Threads Toddler Boys Solid Basic Tee, Black 4T</t>
  </si>
  <si>
    <t>Epic Threads Epic Threads Big Boys Solid Ba Tango Red M 1214</t>
  </si>
  <si>
    <t>Epic Threads Big Boys Tie-dye All Over Prin Spacious Sky S 810</t>
  </si>
  <si>
    <t>Epic Threads Big Girls Wide Leg Corduroy Pa Euphoria 14</t>
  </si>
  <si>
    <t>100134591GR</t>
  </si>
  <si>
    <t>Epic Threads Toddler Girls Hot Cocoa Graphi Ghost Heather 3T</t>
  </si>
  <si>
    <t>First Impressions Toddler Girls Grandmas House T Faintest Pink 4T</t>
  </si>
  <si>
    <t>100131140TG</t>
  </si>
  <si>
    <t>Kids Headquarters Kids Headquarters Toddler Girl Blue and White 2T</t>
  </si>
  <si>
    <t>11L12043-99</t>
  </si>
  <si>
    <t>Epic Threads Toddler Girls Seeing Red Long Tango Red 2T</t>
  </si>
  <si>
    <t>ID Ideology Little Girl Rainbow Fleece Hoo Rose Shadow 2T</t>
  </si>
  <si>
    <t>Maidenform Little Big Girls Cropped Ruc Planets M 78</t>
  </si>
  <si>
    <t>First Impressions Toddler Girls Cupcake-Print Le Slate Heather 4T</t>
  </si>
  <si>
    <t>First Impressions Toddler Girls Ruffle-Hem Leggi Sundrop 4T</t>
  </si>
  <si>
    <t>Univibe Big Boys Pier Sprayed T-Shirt Black M 1012</t>
  </si>
  <si>
    <t>PAW Patrol Little Boys PAW Patrol Short S Gray Combo 5</t>
  </si>
  <si>
    <t>Jordan Jordan Little Boys Jumpman Air Black 7</t>
  </si>
  <si>
    <t>85A756G</t>
  </si>
  <si>
    <t>First Impressions Baby Girls Puppy Stroll Short- Sunset Flamingo 24 months</t>
  </si>
  <si>
    <t>Carters Baby Boys Baseball Snug Fit Pa Blue 18 months</t>
  </si>
  <si>
    <t>Tommy Hilfiger Stretch Fine Twill Pants, Litt Medium Khaki 7</t>
  </si>
  <si>
    <t>First Impressions Baby Boys 2-Pc. Hooded Bodysui Light Grey Heather 3-6 months</t>
  </si>
  <si>
    <t>ID Ideology Toddler Girls Quarter-Zip Flee Sweet Alyssum 2T</t>
  </si>
  <si>
    <t>Epic Threads Big Boys Solid Sherpa Joggers Inkspill L 1618</t>
  </si>
  <si>
    <t>Tommy Hilfiger Toddler Boys Knockout Logo Hoo Navy Blazer 3T</t>
  </si>
  <si>
    <t>First Impressions Toddler Girls Flutter Tunic Cherry Red 4T</t>
  </si>
  <si>
    <t>100130822TG</t>
  </si>
  <si>
    <t>ID Ideology Toddler Little Girls Girls Rose Shadow 3T</t>
  </si>
  <si>
    <t>Epic Threads Toddler Girls Cable Knit Sweat Pink Shine 2T</t>
  </si>
  <si>
    <t>Epic Threads Little Boys Shorts Sleeve Hood Light Heather Gray 5</t>
  </si>
  <si>
    <t>Hybrid Little Boys Jurassic World Neo Navy 6</t>
  </si>
  <si>
    <t>Hybrid Little Boys The Perfect Child Red Heather 5</t>
  </si>
  <si>
    <t>Epic Threads Little Boys Cargo Shorts Toffee Brown 5</t>
  </si>
  <si>
    <t>First Impressions Baby Girls Puppy Stroll Short- Sunset Flamingo 6-9 months</t>
  </si>
  <si>
    <t>First Impressions Baby Girls 2-Pc. Solid Heart S Sunset Flamingo 24 months</t>
  </si>
  <si>
    <t>Carters Toddler Girls 2-Pc. Buffalo Ch Assorted-st 4T</t>
  </si>
  <si>
    <t>2M010710</t>
  </si>
  <si>
    <t>First Impressions Baby Girls Sundae Funday T-Shi Angel White 6-9 months</t>
  </si>
  <si>
    <t>First Impressions Baby Girls Sunrise Stripes Cov Sunset Flamingo 3-6 months</t>
  </si>
  <si>
    <t>First Impressions Baby Girls Fleece Yoga Pants Angel White Newborn</t>
  </si>
  <si>
    <t>Ixtreme Toddler Boys Canvas Yoke Puffe Black 2T</t>
  </si>
  <si>
    <t>First Impressions Baby Boys 2-Pc. Long-Sleeve In Lt Medium 18 months</t>
  </si>
  <si>
    <t>Champion Little Boys All Over Print Cam Camo Concrete 4</t>
  </si>
  <si>
    <t>First Impressions Toddler Boys Long-Sleeve Tie Snow Owl Hthr 4T</t>
  </si>
  <si>
    <t>100101735TB</t>
  </si>
  <si>
    <t>Timberland Big Boys Tree Zip Hoodie Black M 1012</t>
  </si>
  <si>
    <t>TLFEB23F-001</t>
  </si>
  <si>
    <t>Calvin Klein Big Boys Trio Crewneck T-shirt White S 8</t>
  </si>
  <si>
    <t>CKFEB58F-100</t>
  </si>
  <si>
    <t>Epic Threads Toddler Girls Heart 3D Graphic Holiday Ivory 4T</t>
  </si>
  <si>
    <t>Carters Baby Girl Original Bodysuit Multi 3 months</t>
  </si>
  <si>
    <t>1K431710</t>
  </si>
  <si>
    <t>ID Ideology Little Girl Rainbow Fleece Hoo Rose Shadow 6X</t>
  </si>
  <si>
    <t>Nautica Little Boys Uniform Performan Navy S 4</t>
  </si>
  <si>
    <t>First Impressions Toddler Boys Tie-Dye Splash Jo Sugar Blue 4T</t>
  </si>
  <si>
    <t>Hybrid Little Boys True Mickey T-shir Tie Dye 7</t>
  </si>
  <si>
    <t>2TBDNY4227</t>
  </si>
  <si>
    <t>First Impressions Baby Girls Lily Leopard-Print Neo Natural 3-6 months</t>
  </si>
  <si>
    <t>adidas adidas Toddler Boys Short Slee Medium Gray Heather 2T</t>
  </si>
  <si>
    <t>adidas adidas Little Boys Short Sleev Medium Gray Heather 4</t>
  </si>
  <si>
    <t>First Impressions Baby Girls Prancing Unicorn Lo Sundrop 6-9 months</t>
  </si>
  <si>
    <t>First Impressions Baby Girls Puppy Stroll Long-S Sunset Flamingo 24 months</t>
  </si>
  <si>
    <t>100137313BG</t>
  </si>
  <si>
    <t>First Impressions Baby Girls Tie-Dye Long-Sleeve Sunset Flamingo 0-3 months</t>
  </si>
  <si>
    <t>100134945BG</t>
  </si>
  <si>
    <t>First Impressions Baby Girls Stripes Bows Tuni Deep Black 3-6 months</t>
  </si>
  <si>
    <t>Weathertamer Weathertamer Toddler Girls Puf Lilac 4T</t>
  </si>
  <si>
    <t>First Impressions Baby Girls Cherry-Print Covera Angel White 12 months</t>
  </si>
  <si>
    <t>First Impressions Baby Boys 2-Pc. Striped Kangar Washed Indigo 12 months</t>
  </si>
  <si>
    <t>Jordan Jordan Toddler Boys Jumpman Ai Gym Red 3T</t>
  </si>
  <si>
    <t>Kids Headquarters Kids Headquarters Baby Girls R Gray 24 months</t>
  </si>
  <si>
    <t>11L02039-99</t>
  </si>
  <si>
    <t>First Impressions VELOUR LEGGING Horizon Blue 4T</t>
  </si>
  <si>
    <t>First Impressions Toddler Girls Sweet Unicorn Lo Blue Billow 2T</t>
  </si>
  <si>
    <t>Epic Threads Little Girls Fair Isle Fleece Strawberry Pink 6X</t>
  </si>
  <si>
    <t>Epic Threads Toddler Girls Tie Dye Sweater Pink Shine 2T</t>
  </si>
  <si>
    <t>S Rothschild CO Toddler Little Girls Iridesc Pink 6X</t>
  </si>
  <si>
    <t>Epic Threads Toddler Boys Peace sign Graphi Medium Heather Gray 4T</t>
  </si>
  <si>
    <t>Epic Threads Big Boys Short Sleeve All Over Dirty Sage L 1618</t>
  </si>
  <si>
    <t>100138411BO</t>
  </si>
  <si>
    <t>Epic Threads Big Girls Long Sleeve All Over Sugar Blue M 1012</t>
  </si>
  <si>
    <t>Capezio Capezio Big Girls Double Strap Black Large</t>
  </si>
  <si>
    <t>CC123C</t>
  </si>
  <si>
    <t>COTTON, SPANDEX</t>
  </si>
  <si>
    <t>ID Ideology Big Girls Pink Fleece Sweatshi Candy Fizz S 78</t>
  </si>
  <si>
    <t>Epic Threads Little Girls Ruched Heart Knee Lavender Pool 5</t>
  </si>
  <si>
    <t>First Impressions Baby Boys 2-Pc. Bear Sweatshir Slate Heather 12 months</t>
  </si>
  <si>
    <t>DKNY DKNY Big Girls Puffer Jacket Cranberry 7-8</t>
  </si>
  <si>
    <t>S Rothschild CO Toddler Little Girls Iridesc Pink 3T</t>
  </si>
  <si>
    <t>Epic Threads Big Boys Solid Sherpa Joggers Deep Black M 1214</t>
  </si>
  <si>
    <t>Chickpea Baby Girls 4-Pc. Printed Cotto Multi 3-6 months</t>
  </si>
  <si>
    <t>HE12224497</t>
  </si>
  <si>
    <t>Polo Ralph Lauren Little Boys Holiday Bear Fleec Madison Red 7</t>
  </si>
  <si>
    <t>Hurley Hurley Big Boys Shark T-shirt Dark Beetroot Heather Medium</t>
  </si>
  <si>
    <t>Epic Threads Epic Threads Big Girls Quilted Angel White XL 16</t>
  </si>
  <si>
    <t>Epic Threads Toddler Girls Bow Back Astro H Charcoal Heather 2T</t>
  </si>
  <si>
    <t>Epic Threads Toddler Girls All Over Print L Sunset Flamingo 4T</t>
  </si>
  <si>
    <t>Carters 1-Piece Bear Fleece Footie PJs Black 24 months</t>
  </si>
  <si>
    <t>1M094610</t>
  </si>
  <si>
    <t>First Impressions Baby Girl Slv Ruffle Hoodie Cherry Red 6-9 months</t>
  </si>
  <si>
    <t>Carters 4-Piece Animals 100 Snug Fit Multi 18 months</t>
  </si>
  <si>
    <t>Carters Baby Boys or Girls 2-Pc. Santa Plaid 9 months</t>
  </si>
  <si>
    <t>1M093010</t>
  </si>
  <si>
    <t>Carters Baby Girls 2-Pc. Floral Jersey Assorted 18 months</t>
  </si>
  <si>
    <t>1M011410</t>
  </si>
  <si>
    <t>Epic Threads Big Boys Quilted Joggers Oatmeal Heather XL 20</t>
  </si>
  <si>
    <t>Koala Baby Baby Girls Llama Cotton Covera Maroon 12 months</t>
  </si>
  <si>
    <t>KLF11866</t>
  </si>
  <si>
    <t>S Rothschild CO Little Girls Leopard-Print Jac Black Leopard 6X</t>
  </si>
  <si>
    <t>51011F-R1</t>
  </si>
  <si>
    <t>Champion Big Boys Color Block Stadium W Camo Concrete Small</t>
  </si>
  <si>
    <t>CHB402</t>
  </si>
  <si>
    <t>Timberland Big Boys Classic Hoodie T-shir Black L 1416</t>
  </si>
  <si>
    <t>TLFEB18F-001</t>
  </si>
  <si>
    <t>Epic Threads Toddler Boys Short Sleeve Basi Green Camo 4T</t>
  </si>
  <si>
    <t>Epic Threads Little Boys Cargo Shorts Camo 5</t>
  </si>
  <si>
    <t>100138406LB</t>
  </si>
  <si>
    <t>First Impressions Baby Boys 2-Pc. Bear Sweatshir Indigo Dye Heather 18 months</t>
  </si>
  <si>
    <t>Epic Threads Little Boys Basic Tee Bundle, GreyNavyRed 5</t>
  </si>
  <si>
    <t>100138301LB</t>
  </si>
  <si>
    <t>First Impressions Baby Girls Smocked Tunic Leg Foxglove 3-6 months</t>
  </si>
  <si>
    <t>S Rothschild CO Toddler Girls Leopard Jacket Black Leopard 2T</t>
  </si>
  <si>
    <t>Frozen 2 Big Girls Frozen 2 Pajamas, 4 Assorted 8</t>
  </si>
  <si>
    <t>Disney Toddler Girls Princess Dress Pink 3T</t>
  </si>
  <si>
    <t>First Impressions Baby Girls Sunrise Stripe Long Angel White 3-6 months</t>
  </si>
  <si>
    <t>100137289BG</t>
  </si>
  <si>
    <t>First Impressions Baby Girls Space Heart Peplum Deep Black 24 months</t>
  </si>
  <si>
    <t>Epic Threads Big Girls Basic Legging Bundle Multi M 1214</t>
  </si>
  <si>
    <t>Calvin Klein Baby Girls 3-Pc. Bodysuits J Pink 12 months</t>
  </si>
  <si>
    <t>3L00070-99</t>
  </si>
  <si>
    <t>Calvin Klein Big Girls Aerial Puffer Jacket Black L 1214</t>
  </si>
  <si>
    <t>35D36026-01</t>
  </si>
  <si>
    <t>Epic Threads Big Boys Short Sleeve All Over Dirty Sage M 1214</t>
  </si>
  <si>
    <t>Epic Threads Big Girls Cozy Faux Fur Checke Tango Red XLarge</t>
  </si>
  <si>
    <t>100140183GR</t>
  </si>
  <si>
    <t>Polo Ralph Lauren Toddler Boys Fair Isle Reversi Polo Black 3T</t>
  </si>
  <si>
    <t>First Impressions Baby Boys Sunrise Stripes Cott Passion Blue 6-9 months</t>
  </si>
  <si>
    <t>Epic Threads Big Girls Solid Waffle T-shirt Sunset Flamingo XL 1820</t>
  </si>
  <si>
    <t>Epic Threads Epic Threads Big Girls Quilted Angel White S 78</t>
  </si>
  <si>
    <t>Epic Threads Big Boys Solid Sherpa Joggers Inkspill XL 20</t>
  </si>
  <si>
    <t>Champion Big Girls Drop Shadow Champion Oxford Heather XLarge</t>
  </si>
  <si>
    <t>Epic Threads Little Girls Bow Front Shortie Deep Black 6X</t>
  </si>
  <si>
    <t>Nautica Nautica Little Boys Blue Shark Dark Blue 4</t>
  </si>
  <si>
    <t>NDFER09J-405</t>
  </si>
  <si>
    <t>Disney Disney Toddler Girls T-shirt Lavender 2T</t>
  </si>
  <si>
    <t>ID Ideology Toddler Little Girls Polar F Sweet Alyssum 2T</t>
  </si>
  <si>
    <t>100130461LG</t>
  </si>
  <si>
    <t>COTTON ON Big Boys Ted Short Sleeve Lice Green 8</t>
  </si>
  <si>
    <t>7341491-01-BB</t>
  </si>
  <si>
    <t>First Impressions Baby Girls Sunrise Stripe Long Angel White 24 months</t>
  </si>
  <si>
    <t>First Impressions Toddler Girls Sweetheart Dot T Sunset Flamingo 4T</t>
  </si>
  <si>
    <t>100138602TG</t>
  </si>
  <si>
    <t>First Impressions Toddler Boys Long Sleeve Yum T Washed Indigo 2T</t>
  </si>
  <si>
    <t>Max Olivia Max Olivia Toddler Boys 2 Pi Navy 2T</t>
  </si>
  <si>
    <t>ID Ideology Big Girls Fleece Jogger Pants Candy Fizz L 14</t>
  </si>
  <si>
    <t>First Impressions Baby Girls Sunrise Stripes Cov Sunset Flamingo 0-3 months</t>
  </si>
  <si>
    <t>First Impressions Baby Girl Slv Ruffle Hoodie Cherry Red 18 months</t>
  </si>
  <si>
    <t>S Rothschild CO Toddler Little Girls Iridesc Pink 2T</t>
  </si>
  <si>
    <t>Epic Threads Big Girls Wide Leg Corduroy Pa Euphoria 16</t>
  </si>
  <si>
    <t>First Impressions Baby Boys 2-Pc. Bear-Print Top Neo Natural 6-9 months</t>
  </si>
  <si>
    <t>100129587BB</t>
  </si>
  <si>
    <t>First Impressions Baby Girls Space Heart Long-Sl Deep Black 24 months</t>
  </si>
  <si>
    <t>1M730010</t>
  </si>
  <si>
    <t>61EG4053-411</t>
  </si>
  <si>
    <t>100137959LB</t>
  </si>
  <si>
    <t>2JBPJM0052</t>
  </si>
  <si>
    <t>HELLO KITTY LS TEE</t>
  </si>
  <si>
    <t>T000251GHK0783</t>
  </si>
  <si>
    <t>Carters Baby Girls 3-Pc. Bodysuit, Pan Gray 18 months</t>
  </si>
  <si>
    <t>Hybrid Little Boys Animal Crossing Fa Oatmeal Heather 6</t>
  </si>
  <si>
    <t>Max Olivia Big Girls Base Layer, 2 Piece Mint XL 1416</t>
  </si>
  <si>
    <t>Sugar Sugar Little Girls Milhoja Coz Rose Gold 13M</t>
  </si>
  <si>
    <t>SGK MILHOJA</t>
  </si>
  <si>
    <t>Epic Threads Epic Threads Little Boys Solid Black 5</t>
  </si>
  <si>
    <t>Champion Big Boys Circle Crest Fleece H Black Scarlet S 8</t>
  </si>
  <si>
    <t>Carters 3-Piece Zip-Up Jacket Set Red Newborn</t>
  </si>
  <si>
    <t>1M150910</t>
  </si>
  <si>
    <t>Maidenform Lace-Back Ruched Seamless Crop White XL 1416</t>
  </si>
  <si>
    <t>Epic Threads Toddler Boys Water Resistant P Deep Cobalt 3T</t>
  </si>
  <si>
    <t>100133711LB</t>
  </si>
  <si>
    <t>BABY SHARK 2 PC</t>
  </si>
  <si>
    <t>UI095ELLZA</t>
  </si>
  <si>
    <t>Polo Ralph Lauren Little Boys Holiday Bear Fleec Madison Red 5</t>
  </si>
  <si>
    <t>Polo Ralph Lauren Toddler Boys Waffle-Knit Long- Medium Flannel Heather 3T</t>
  </si>
  <si>
    <t>Epic Threads Toddler Girls Seeing Red All O Pewter Heather 3T</t>
  </si>
  <si>
    <t>First Impressions Baby Boys Polar Bear Ski T-Shi Passion Blue 6-9 months</t>
  </si>
  <si>
    <t>First Impressions Baby Boys Papa Walrus Long-Sle Salmon Creek 12 months</t>
  </si>
  <si>
    <t>Minecraft Little Boys Minecraft Pajamas, Assorted 6</t>
  </si>
  <si>
    <t>Epic Threads Toddler Boys Short Sleeves Gra Bright White 4T</t>
  </si>
  <si>
    <t>Timberland Big Boys Camo Color Block Coat Dark Cheddar Medium</t>
  </si>
  <si>
    <t>TLFEM07F-756</t>
  </si>
  <si>
    <t>Champion Big Boys All Over Print Signat Camo Concrete XLarge</t>
  </si>
  <si>
    <t>Epic Threads Epic Threads Little Girls Wate Aqua Pool 5</t>
  </si>
  <si>
    <t>100133082LG</t>
  </si>
  <si>
    <t>First Impressions Baby Boys or Girls Jacket Mi Foxglove 24 months</t>
  </si>
  <si>
    <t>Epic Threads Big Girls Tie Dye Sherpa Pullo Sugar Blue Large</t>
  </si>
  <si>
    <t>Epic Threads Epic Threads Toddler Girls Wat Candy Fizz 2T</t>
  </si>
  <si>
    <t>100133078LG</t>
  </si>
  <si>
    <t>adidas Little Boys Long Sleeve Solid Black, Red 5</t>
  </si>
  <si>
    <t>AA7247</t>
  </si>
  <si>
    <t>Epic Threads Epic Threads Toddler Girls Wat Deep Black 2T</t>
  </si>
  <si>
    <t>BECKIE</t>
  </si>
  <si>
    <t>CF21H05H</t>
  </si>
  <si>
    <t>DC Comics Batman Wisdom Comic Book Short Sunflower 2T</t>
  </si>
  <si>
    <t>Epic Threads Little Girls Good Vibes Short Angel White 6X</t>
  </si>
  <si>
    <t>Champion Toddler Girls Champion Leopard White 2T</t>
  </si>
  <si>
    <t>Epic Threads Little Boys Fleece, 3 Piece Se Artichoke 5</t>
  </si>
  <si>
    <t>Epic Threads Big Girls Solid Basic Tee, Cre Tango Red S 810</t>
  </si>
  <si>
    <t>First Impressions Baby Girls Lily Leopard-Print Neo Natural 12 months</t>
  </si>
  <si>
    <t>Carters Baby Girls Snug Fit Cotton Foo Pink 12 months</t>
  </si>
  <si>
    <t>1L727612</t>
  </si>
  <si>
    <t>Epic Threads Toddler Girls Fair Isle Fleece Strawberry Pink 4T</t>
  </si>
  <si>
    <t>Epic Threads Toddler Girls Desserts T-shirt Holiday Ivory 3T</t>
  </si>
  <si>
    <t>100144981LB</t>
  </si>
  <si>
    <t>adidas Big Boys Influence 3-Stripes J Vivid Red L 1416</t>
  </si>
  <si>
    <t>AK5815</t>
  </si>
  <si>
    <t>Minnie Mouse Minnie Mouse Big Girls Robe Assorted 8</t>
  </si>
  <si>
    <t>MW1171GRDMA</t>
  </si>
  <si>
    <t>Epic Threads Big Girls Star Print Basic Tee Gray S 810</t>
  </si>
  <si>
    <t>100129816GR</t>
  </si>
  <si>
    <t>Trimfit Big Boys 4-Pk. Retro-Stripe Th Charcoal Small-Medium</t>
  </si>
  <si>
    <t>Trimfit Big Boys 4-Pk. Marled Thermal Red Small-Medium</t>
  </si>
  <si>
    <t>Calvin Klein Calvin Klein Performance Big G Black M 1012</t>
  </si>
  <si>
    <t>35I35613-01</t>
  </si>
  <si>
    <t>First Impressions Baby Boys Blast Off Long-Sleev Cherry Flame 18 months</t>
  </si>
  <si>
    <t>Epic Threads Big Girls Long Sleeve Twist Ba Deep Black XLarge</t>
  </si>
  <si>
    <t>100133318GR</t>
  </si>
  <si>
    <t>Carters Toddler Girls 1-Piece Butterfl Print 3T</t>
  </si>
  <si>
    <t>Carters Toddler Girls 2-Pc. Fleece Hoo Pink 3T</t>
  </si>
  <si>
    <t>Calvin Klein Calvin Klein Big Girls Velour Purple Small</t>
  </si>
  <si>
    <t>Bonnie Jean Little Girls Velvet Hipster Dr Black 6X</t>
  </si>
  <si>
    <t>Carters Toddler Girls 2-Pc. Fleece Hoo Pink 4T</t>
  </si>
  <si>
    <t>Carters Toddler Girls Striped Top and Yellow 5T</t>
  </si>
  <si>
    <t>2J102810</t>
  </si>
  <si>
    <t>First Impressions Baby Girls Lion Top Slate Hthr 3-6 months</t>
  </si>
  <si>
    <t>100121173BG</t>
  </si>
  <si>
    <t>Calvin Klein Baby Girls 2-Pc. Hooded Fleece Oatmeal Heather 6-9 months</t>
  </si>
  <si>
    <t>3L80141-99</t>
  </si>
  <si>
    <t>ID Ideology Big Girls Striped Snap Track P Deep Black M 1012</t>
  </si>
  <si>
    <t>First Impressions Toddler Boys Striped Cotton Jo Passion Blue 3T</t>
  </si>
  <si>
    <t>First Impressions Toddler Boys Long Sleeve Monst Sundrop 4T</t>
  </si>
  <si>
    <t>First Impressions VELOUR LEGGING Faintest Pink 4T</t>
  </si>
  <si>
    <t>Champion Champion Little Girls Drop Sha Pink Candy 6X</t>
  </si>
  <si>
    <t>First Impressions Toddler Boys Jogger Pants Passion Blue 3T</t>
  </si>
  <si>
    <t>First Impressions Baby Girls Scribble Fair Isle Angel White 3-6 months</t>
  </si>
  <si>
    <t>First Impressions Baby Boys Cotton Space Cardiga Angel White Newborn</t>
  </si>
  <si>
    <t>Epic Threads Little Girls Stripe Heart Pock Pink Tulip 5</t>
  </si>
  <si>
    <t>LOL Surprise Little Girls Lol Surpise Coat Assorted 6</t>
  </si>
  <si>
    <t>LZ222GCLMA</t>
  </si>
  <si>
    <t>Carters Toddler Girls Dots Stars Cot Print 6</t>
  </si>
  <si>
    <t>3M507610</t>
  </si>
  <si>
    <t>Champion Big Boys Colorblocked Logo Hoo Bozetto Blue, Black, White L 1416</t>
  </si>
  <si>
    <t>DD8874</t>
  </si>
  <si>
    <t>Epic Threads Toddler Boys Basic Solid T-shi Tango Red 4T</t>
  </si>
  <si>
    <t>Epic Threads Big Girls Metallic Legging, Cr Pink Metallic M 1012</t>
  </si>
  <si>
    <t>100129866GR</t>
  </si>
  <si>
    <t>Max Olivia Big Girls Unicorn Long Leg Paj Purple 1416</t>
  </si>
  <si>
    <t>First Impressions Baby Boys 2-Pc. Short-Sleeve I Lt Medium 3-6 months</t>
  </si>
  <si>
    <t>Epic Threads Epic Threads Big Girls Knit To Sunset Flamingo L 1214</t>
  </si>
  <si>
    <t>ID Ideology Big Girls Faux-Layer Tank Jet Ski XL 16</t>
  </si>
  <si>
    <t>Spider-Man Little Boys Spiderman Robe Assorted 6</t>
  </si>
  <si>
    <t>SM221BRDMA</t>
  </si>
  <si>
    <t>Disney Princess Frozen Little Girls Fantasy Go Multicolor 4</t>
  </si>
  <si>
    <t>FZ915GGSMA</t>
  </si>
  <si>
    <t>Epic Threads Toddler Boys Short Sleeve Grap Sunset Gold 3T</t>
  </si>
  <si>
    <t>100133753LB</t>
  </si>
  <si>
    <t>Hanes Boys or Little Boys 10-Pack White S</t>
  </si>
  <si>
    <t>Epic Threads Toddler Girls Short Sleeve Be Pink Dogwood 2T</t>
  </si>
  <si>
    <t>100128931LG</t>
  </si>
  <si>
    <t>Champion Champion Little Girls Cargo Pa Oxford Heather 6</t>
  </si>
  <si>
    <t>CHL609</t>
  </si>
  <si>
    <t>Calvin Klein Big Girls Bralette, Pack of 2 Warm Calvin Klein Tie Dye, Hea Medium</t>
  </si>
  <si>
    <t>Polo Ralph Lauren Baby Girls Stretch Mesh Polo D Madison Red 24 months</t>
  </si>
  <si>
    <t>Epic Threads Toddler Girls Cottage Core Sol Boysenberry 2T</t>
  </si>
  <si>
    <t>Epic Threads Toddler Girls Snowflake T-shir Aqua Wash 4T</t>
  </si>
  <si>
    <t>100140762LG</t>
  </si>
  <si>
    <t>Epic Threads Toddler Girls Always Chase You Strawberry Pink 3T</t>
  </si>
  <si>
    <t>100138293LG</t>
  </si>
  <si>
    <t>First Impressions Toddler Girls Sunrise Stripe L Angel White 4T</t>
  </si>
  <si>
    <t>100137289TG</t>
  </si>
  <si>
    <t>First Impressions Toddler Girls Sweet Unicorn Lo Blue Billow 4T</t>
  </si>
  <si>
    <t>100137284TG</t>
  </si>
  <si>
    <t>First Impressions Baby Girl Map Tee Foxglove 4T</t>
  </si>
  <si>
    <t>100101911TG</t>
  </si>
  <si>
    <t>Epic Threads Toddler Girls All Over Print T Blue Turquoise 3T</t>
  </si>
  <si>
    <t>100087428LG</t>
  </si>
  <si>
    <t>First Impressions Toddler Boys Fair Isle Stripe Bone Hthr 4T</t>
  </si>
  <si>
    <t>100133882TB</t>
  </si>
  <si>
    <t>Carters 3-Piece Floral Little Vest Set Multi 3 months</t>
  </si>
  <si>
    <t>First Impressions Toddler Girls Ruched Heart Top Light Grey 3T</t>
  </si>
  <si>
    <t>Epic Threads Little Girls Hot Cocoa Graphic Ghost Heather 6X</t>
  </si>
  <si>
    <t>First Impressions Baby Girls Velour Ruffle Sweat Sundrop 24 months</t>
  </si>
  <si>
    <t>Champion Toddler Boys Signature T-shirt Blue Seaglass 3T</t>
  </si>
  <si>
    <t>JOGGER SET</t>
  </si>
  <si>
    <t>Q3757C98DE76</t>
  </si>
  <si>
    <t>Under Armour Under Armour Big Boys Prototyp Phoenix Fire, Black Medium</t>
  </si>
  <si>
    <t>ID Ideology Big Girls Fleece Jogger Pants Candy Fizz XXL 18</t>
  </si>
  <si>
    <t>Epic Threads Little Boys Short Sleeve Graph Chartreuse Sun 6</t>
  </si>
  <si>
    <t>Carters Little Girls Cable-Knit Sweate Red 8</t>
  </si>
  <si>
    <t>3M026910</t>
  </si>
  <si>
    <t>Levis Levis Big Boys Skinny Taper J Sundance Kid 18</t>
  </si>
  <si>
    <t>Levis Boys 511 Performance Jeans Ice Cap 20</t>
  </si>
  <si>
    <t>Epic Threads Big Girls Cozy Faux Fur Checke Tango Red Small</t>
  </si>
  <si>
    <t>Epic Threads Little Girls Rainbow T-shirt Sundrop 5</t>
  </si>
  <si>
    <t>Super Mario Toddler Boys Mario Poses Short Heather Oatmeal 4T</t>
  </si>
  <si>
    <t>2JNIN6109</t>
  </si>
  <si>
    <t>Epic Threads Big Girls Long Sleeve All Over Lavender Pool M 1012</t>
  </si>
  <si>
    <t>Epic Threads Big Girls Long Sleeve Flip Seq Ghost Heather XL 1820</t>
  </si>
  <si>
    <t>100138486GR</t>
  </si>
  <si>
    <t>Epic Threads Epic Threads Little Girls Wate Pink 5</t>
  </si>
  <si>
    <t>Nike Nike Toddler Girls Core Padded Rainbow 2T</t>
  </si>
  <si>
    <t>First Impressions Baby Girls Sleepy Moon Long Sl Angel White Newborn</t>
  </si>
  <si>
    <t>2PK BIKINI</t>
  </si>
  <si>
    <t>Maidenform Big Girls 3-Pack Cropped Cotto Uniblublk L 1416</t>
  </si>
  <si>
    <t>Maidenform Lace-Trim Underwear, Little Pink Hue S 66X</t>
  </si>
  <si>
    <t>Calvin Klein Big Girls Bralette, Pack of 2 Warm Calvin Klein Tie Dye, Hea Large</t>
  </si>
  <si>
    <t>Disney Disney Toddler Girls T-shirt Lavender 3T</t>
  </si>
  <si>
    <t>T000126GD13252</t>
  </si>
  <si>
    <t>Maidenform Maidenform Big Girls Printed S Knckoutpk S 68</t>
  </si>
  <si>
    <t>Maidenform Little Big Girls Cropped Ruc Navy Unicorn S 68</t>
  </si>
  <si>
    <t>Playground Pals Girls 2-Pack Solid Minishorts Carmine RoseWhite XL 1416</t>
  </si>
  <si>
    <t>Quiksilver Quiksilver Big Boys Slab 17 Sh Navy Blazer 22</t>
  </si>
  <si>
    <t>EQBBS03555</t>
  </si>
  <si>
    <t>First Impressions Baby Boys Honey Bear Cotton T- True Pine 18 months</t>
  </si>
  <si>
    <t>100133885BB</t>
  </si>
  <si>
    <t>First Impressions Baby Boys Honey Bear Cotton T- True Pine 3-6 months</t>
  </si>
  <si>
    <t>Ixtreme Little Boys Canvas Yoke Puffer Forest 5-6</t>
  </si>
  <si>
    <t>First Impressions Toddler Boys Elf T-Shirt Pewter Hthr 4T</t>
  </si>
  <si>
    <t>First Impressions Toddler Boys Elf T-Shirt Pewter Hthr 2T</t>
  </si>
  <si>
    <t>Epic Threads Little Girls Fair Isle Necklin Sundrop 6X</t>
  </si>
  <si>
    <t>Epic Threads Little Girls Polka Dot Print S Cherry Flame 5</t>
  </si>
  <si>
    <t>100140752LG</t>
  </si>
  <si>
    <t>Baby Shark Toddler Boys Baby Shark Pajama Assorted 4T</t>
  </si>
  <si>
    <t>UI081ELLMA</t>
  </si>
  <si>
    <t>Tommy Hilfiger Little Big Boys Cotton T-Shi Bright White S 67</t>
  </si>
  <si>
    <t>TBFCJ11K-100</t>
  </si>
  <si>
    <t>Epic Threads Little Boys Short Sleeve Text Jalapeno 5</t>
  </si>
  <si>
    <t>100133757LB</t>
  </si>
  <si>
    <t>First Impressions Toddler Boys Beanie Critters T Cherry Red 3T</t>
  </si>
  <si>
    <t>100133877TB</t>
  </si>
  <si>
    <t>FIRST IMPRESSIONS MISMATE</t>
  </si>
  <si>
    <t>FIRSTIMPRESS MISMATE</t>
  </si>
  <si>
    <t>First Impressions Baby Girls Sweet Unicorn Long- Blue Billow 3-6 months</t>
  </si>
  <si>
    <t>First Impressions Baby Girls Cozy Bunny Long-Sle Angel White 6-9 months</t>
  </si>
  <si>
    <t>100131143BG</t>
  </si>
  <si>
    <t>Nautica Little Girls Caoimhe Casual La White 1</t>
  </si>
  <si>
    <t>CAOIMHE</t>
  </si>
  <si>
    <t>ID Ideology Big Girls Keyhole Hoodie First Blush S 78</t>
  </si>
  <si>
    <t>Timberland Timberland Little Boys Vest, T Brown Sugar 6</t>
  </si>
  <si>
    <t>41L53002-99</t>
  </si>
  <si>
    <t>Hybrid Toddler Boys Nasa Spaceship Sh Light Blue 4T</t>
  </si>
  <si>
    <t>First Impressions Baby Girls Velour Ruffle Sweat Sugar Blue 18 months</t>
  </si>
  <si>
    <t>First Impressions Baby Girls Velour Ruffle Sweat Sugar Blue 12 months</t>
  </si>
  <si>
    <t>Nike Nike Big Boys Training Shorts Total Orange, Photon Dust XL 1820</t>
  </si>
  <si>
    <t>CJ9272</t>
  </si>
  <si>
    <t>Star Wars Little Boys Grogu Short Sleeve Green Tie Dye 5</t>
  </si>
  <si>
    <t>Epic Threads Toddler Girls Sequin Graphic S Peacoat 3T</t>
  </si>
  <si>
    <t>100133225LG</t>
  </si>
  <si>
    <t>Epic Threads Big Boys Long Sleeve Solid Che Dirty Sage S 810</t>
  </si>
  <si>
    <t>First Impressions Baby Boys Cotton Colorblocked Willow Hedge 12 months</t>
  </si>
  <si>
    <t>Epic Threads Toddler Girls Striped Balloon Pewter Heather 4T</t>
  </si>
  <si>
    <t>Epic Threads Toddler Girls Graphic Balloon Holiday Ivory 4T</t>
  </si>
  <si>
    <t>100132595LG</t>
  </si>
  <si>
    <t>First Impressions Baby Girls Corduroy Pants Cherry Red 6-9 months</t>
  </si>
  <si>
    <t>100129487BG</t>
  </si>
  <si>
    <t>Tommy Hilfiger Tommy Hilfiger Big Girls Bra S Multi Medium</t>
  </si>
  <si>
    <t>Maidenform Little Big Girls Cropped Ruc Blue Tie-Dye Heart M 78</t>
  </si>
  <si>
    <t>BIKINI 2PK</t>
  </si>
  <si>
    <t>2PK RACERBACK BRALETTE</t>
  </si>
  <si>
    <t>6128A</t>
  </si>
  <si>
    <t>Calvin Klein Big Girls 3-Pack Cropped Bra S Pink, Heather Gray, White Mult Large</t>
  </si>
  <si>
    <t>Epic Threads Little Girls Basic Tee Bundle, WhitePinkNavy 5</t>
  </si>
  <si>
    <t>100120504LG</t>
  </si>
  <si>
    <t>Maidenform Little Big Girls Butterfly-P Navy S 68</t>
  </si>
  <si>
    <t>Champion Toddler Boys Signature Hoodie Blue Seaglass 3T</t>
  </si>
  <si>
    <t>Hurley Hurley Big Girls T-shirt with Black Large</t>
  </si>
  <si>
    <t>485280E</t>
  </si>
  <si>
    <t>HURLEY GIRLS/HADDAD APPAREL GROUP</t>
  </si>
  <si>
    <t>CARTER MISMATE</t>
  </si>
  <si>
    <t>Epic Threads Little Girls Desserts T-shirt Holiday Ivory 6</t>
  </si>
  <si>
    <t>First Impressions Toddler Boys Polar Pals T-Shir Sterling Hthr 4T</t>
  </si>
  <si>
    <t>First Impressions Toddler Boys Beanie Critters T Cherry Red 2T</t>
  </si>
  <si>
    <t>First Impressions Baby Girls Stripes Bows Tuni Deep Black 18 months</t>
  </si>
  <si>
    <t>First Impressions Toddler Girls Entangled Bows L Deep Black 4T</t>
  </si>
  <si>
    <t>First Impressions VELOUR LEGGING Faintest Pink 3T</t>
  </si>
  <si>
    <t>adidas Little Boys Core 3 Stripes Jog Charcoal Gray Heather 7</t>
  </si>
  <si>
    <t>AK5797</t>
  </si>
  <si>
    <t>Converse Converse Big Boys Washed Jogge Steel M 1012</t>
  </si>
  <si>
    <t>9CB826E</t>
  </si>
  <si>
    <t>Champion Little Boys Mesh Short Black 7</t>
  </si>
  <si>
    <t>Champion Big Boys Script Over T-Shirt White Large</t>
  </si>
  <si>
    <t>Keds Little Big Girls 2-Pack Swea Heather Oatmeal 4-6</t>
  </si>
  <si>
    <t>adidas Big Girls Melange Fleece Jogge Black with Purple XL 1820</t>
  </si>
  <si>
    <t>Under Armour Under Armour Big Boys Tech Big Royal XLarge</t>
  </si>
  <si>
    <t>Carters Toddler Boys Pull-On Fleece Pa Green 2T</t>
  </si>
  <si>
    <t>11L22038-99</t>
  </si>
  <si>
    <t>Carters 2-Piece Floral Peplum Bodysuit Multi Newborn</t>
  </si>
  <si>
    <t>1M024010</t>
  </si>
  <si>
    <t>ID Ideology Big Girls Rainbow-Leg Fleece J Rose Shadow M 1012</t>
  </si>
  <si>
    <t>First Impressions Baby Boys Sleepy Cloud Long Sl Washed Indigo 3-6 months</t>
  </si>
  <si>
    <t>First Impressions Baby Girls Metallic Bomber Jac Silver Metallic 18 months</t>
  </si>
  <si>
    <t>Calvin Klein Big Girls Bralette, Pack of 2 White, Deep Violet Block Logo Large</t>
  </si>
  <si>
    <t>Evy of California Big Girls Force is Strong Swea Multi M 1012</t>
  </si>
  <si>
    <t>KE00371SWMJ0699</t>
  </si>
  <si>
    <t>Champion Little Girls Short Sleeve Prin Land Ice 6X</t>
  </si>
  <si>
    <t>2674CG</t>
  </si>
  <si>
    <t>Epic Threads Toddler Girls Long Sleeve Drop Lavender Pool 4T</t>
  </si>
  <si>
    <t>Maidenform Little Big Girls Lace-Back R Heather Grey M 78</t>
  </si>
  <si>
    <t>Calvin Klein Big Girls Bralette, Pack of 2 White, Deep Violet Block Logo Medium</t>
  </si>
  <si>
    <t>First Impressions Baby Boys Buffalo Check Vest, Cherry Red 0-3 months</t>
  </si>
  <si>
    <t>100129567BB</t>
  </si>
  <si>
    <t>First Impressions Toddler Boy Short Sleeve Popsi Willow Hedge 2T</t>
  </si>
  <si>
    <t>100138646TB</t>
  </si>
  <si>
    <t>Hurley Hurley Big Girls Rainbow Sport Dark Gray Heather Small</t>
  </si>
  <si>
    <t>484806E</t>
  </si>
  <si>
    <t>InMocean Little Girls Knit 2 Piece Set Multi</t>
  </si>
  <si>
    <t>DFA31224-MAC-MLT</t>
  </si>
  <si>
    <t>Tommy Hilfiger Tommy Hilfiger Big Boys Camouf Beetle L 1618</t>
  </si>
  <si>
    <t>Tommy Hilfiger Little Girls Pique Logo Dress Flag Blue 6X</t>
  </si>
  <si>
    <t>61EG1041-411</t>
  </si>
  <si>
    <t>Disney Disney Toddler Girls Hello Kit Red 2T</t>
  </si>
  <si>
    <t>T000126GHK1095</t>
  </si>
  <si>
    <t>Disney Disney Little Girls Minnie T-s Pink 6</t>
  </si>
  <si>
    <t>First Impressions Toddler Boys Fair Isle Stripe Bone Hthr 2T</t>
  </si>
  <si>
    <t>First Impressions Toddler Girls Skating Penguin Lavendar Pool 3T</t>
  </si>
  <si>
    <t>100138699TG</t>
  </si>
  <si>
    <t>Epic Threads Toddler Girls All Over Print L Sunset Flamingo 2T</t>
  </si>
  <si>
    <t>Epic Threads Little Girls 3D Heart Pocket S Deep Black 6X</t>
  </si>
  <si>
    <t>100140767LG</t>
  </si>
  <si>
    <t>100140760LG</t>
  </si>
  <si>
    <t>First Impressions Toddler Girls Sweet Sprinkles Sunset Flamingo 4T</t>
  </si>
  <si>
    <t>100137295TG</t>
  </si>
  <si>
    <t>First Impressions Baby Girls Cherry Tunic Angel White 18 months</t>
  </si>
  <si>
    <t>First Impressions Toddler Girls Velour Ruffle Sw Sundrop 4T</t>
  </si>
  <si>
    <t>Epic Threads Little Girls Ski Sloth T-shirt Sugar Blue 5</t>
  </si>
  <si>
    <t>First Impressions Baby Girls Velour Ruffle Sweat Sundrop 18 months</t>
  </si>
  <si>
    <t>Champion Little Boys Diagonal Script Ra Oxford Heather, Granite Heathe 7</t>
  </si>
  <si>
    <t>CHY381</t>
  </si>
  <si>
    <t>Levis Levis Big Boys 511 Slim Fit J West Lake 10</t>
  </si>
  <si>
    <t>Polo Ralph Lauren Big Boys Logo Hooded T-shirt Starboard Red M 1012</t>
  </si>
  <si>
    <t>Nike Nike Big Boys Training Shorts Total Orange, Photon Dust S 810</t>
  </si>
  <si>
    <t>Epic Threads Big Girls Cozy Fleece Jogger Steel Gray Large</t>
  </si>
  <si>
    <t>Epic Threads Big Girls Cozy Fleece Jogger Deep Black Medium</t>
  </si>
  <si>
    <t>100134346GR</t>
  </si>
  <si>
    <t>Carters Baby Boys 4-Pc. Monster Truck Print 18 months</t>
  </si>
  <si>
    <t>First Impressions Baby Boys Papa Walrus Long-Sle Salmon Creek 24 months</t>
  </si>
  <si>
    <t>First Impressions Baby Girls Corduroy Pants Cherry Red 0-3 months</t>
  </si>
  <si>
    <t>Epic Threads Toddler Girls Bow Front Shorti Deep Black 2T</t>
  </si>
  <si>
    <t>Champion Champion Toddler Girls Classic Blue Mist, Granite Heather 4T</t>
  </si>
  <si>
    <t>2748CG</t>
  </si>
  <si>
    <t>Maidenform Little Big Girls Tie-Dye Hip Ltpasblue S 68</t>
  </si>
  <si>
    <t>Epic Threads Big Girls Cozy Fleece Pullover Steel Gray Large</t>
  </si>
  <si>
    <t>100133109GR</t>
  </si>
  <si>
    <t>Tommy Hilfiger Tommy Hilfiger Little Boys Pri Collection Blue S 4</t>
  </si>
  <si>
    <t>Tommy Hilfiger Tommy Hilfiger Little Boys Pri Collection Blue L 6</t>
  </si>
  <si>
    <t>Spider-Man Big Boys Spiderman Robe Assorted 8</t>
  </si>
  <si>
    <t>Epic Threads Little Girls Solid Skirt Leggi Ghost Heather 6X</t>
  </si>
  <si>
    <t>Carters Baby Girls Glitter Watermelon Heather Gray 3 months</t>
  </si>
  <si>
    <t>1L733110</t>
  </si>
  <si>
    <t>Epic Threads Little Girls Cupcake T-shirt Lavender Pool 6X</t>
  </si>
  <si>
    <t>First Impressions Toddler Girls Sweetheart Dot L Sunset Flamingo 3T</t>
  </si>
  <si>
    <t>Epic Threads Toddler Girls Stripe Graphic T Holiday Ivory 2T</t>
  </si>
  <si>
    <t>First Impressions Baby Girls 2-Pc. Glitter Velou Lavender Pool 12 months</t>
  </si>
  <si>
    <t>Under Armour Big Boys Camo Boxers Set, Pack Gray, Black Medium</t>
  </si>
  <si>
    <t>Carters Baby Girls Snug Fit Pajama, 4 Pink Pear 18 months</t>
  </si>
  <si>
    <t>1L721010</t>
  </si>
  <si>
    <t>Nike Nike Baby Boys Thermal Half Zi Black 18 months</t>
  </si>
  <si>
    <t>Epic Threads Big Girls Tie Dye Sherpa Pullo Sugar Blue Medium</t>
  </si>
  <si>
    <t>ID Ideology Little Girls Striped Velour Pa Medieval Blue XL 16</t>
  </si>
  <si>
    <t>100130401GR</t>
  </si>
  <si>
    <t>Epic Threads Big Boys Long Sleeve T-shirt Camo Large</t>
  </si>
  <si>
    <t>100135948BO</t>
  </si>
  <si>
    <t>First Impressions VELOUR LEGGING Horizon Blue 3-6 months</t>
  </si>
  <si>
    <t>Epic Threads Toddler Boys Smiley All Over P Apple Blossom 4T</t>
  </si>
  <si>
    <t>100144628LB</t>
  </si>
  <si>
    <t>Epic Threads Big Boys Fleece Pants Artichoke L 1618</t>
  </si>
  <si>
    <t>100138417BO</t>
  </si>
  <si>
    <t>ID Ideology Big Girls Quarter-Zip Fleece P Chic Pink M 1012</t>
  </si>
  <si>
    <t>Epic Threads Big Girls Solid Basic Tee, Cre Tango Red M 1214</t>
  </si>
  <si>
    <t>100138260GR</t>
  </si>
  <si>
    <t>Hybrid Little Boys Teenage Mutant Nin Heather Gray 7</t>
  </si>
  <si>
    <t>First Impressions Baby Boys 2Pc. Tie-Dye Set Angel White 3-6 months</t>
  </si>
  <si>
    <t>Disney Disney Little Girls T-shirt Lavender 6X</t>
  </si>
  <si>
    <t>First Impressions Baby Girls Lily Leopard-Print Neo Natural 6-9 months</t>
  </si>
  <si>
    <t>Calvin Klein Big Girls Bralette, Pack of 2 White, Deep Violet Block Logo Small</t>
  </si>
  <si>
    <t>Champion Champion Big Girls Script Crew White XL 16</t>
  </si>
  <si>
    <t>Quiksilver Quiksilver Big Boys Surfsilk P Classic Blue 25</t>
  </si>
  <si>
    <t>First Impressions Toddler Boy Short Sleeve Popsi Willow Hedge 4T</t>
  </si>
  <si>
    <t>First Impressions Baby Boys Honey Bear Cotton T- True Pine 12 months</t>
  </si>
  <si>
    <t>First Impressions Baby Girls Snowflake Velour To Cherry Red 12 months</t>
  </si>
  <si>
    <t>Converse Converse Big Boys Knee Patch J Black L 1416</t>
  </si>
  <si>
    <t>9CC037E</t>
  </si>
  <si>
    <t>Calvin Klein Big Girls 3-Pack Cropped Bra S Pink, Heather Gray, White Mult Medium</t>
  </si>
  <si>
    <t>Jordan Jordan Big Boys Short Sleeve G White L 1416</t>
  </si>
  <si>
    <t>95A779G</t>
  </si>
  <si>
    <t>Epic Threads Toddler Girls Rainbow All-Over Rainbow 4T</t>
  </si>
  <si>
    <t>First Impressions VELOUR LEGGING Angel White 3T</t>
  </si>
  <si>
    <t>First Impressions Baby Girls Velour Ruffle Sweat Sundrop 12 months</t>
  </si>
  <si>
    <t>Epic Threads Toddler Girls Hot Cocoa Graphi Ghost Heather 4T</t>
  </si>
  <si>
    <t>Epic Threads Toddler Girls Ski Sloth Graphi Sugar Blue 3T</t>
  </si>
  <si>
    <t>Epic Threads Little Girls Bow Back Make Mag Aqua Wash 5</t>
  </si>
  <si>
    <t>Speechless Speechless Big Girls Floral Lu Black 12</t>
  </si>
  <si>
    <t>C4030D99DE57</t>
  </si>
  <si>
    <t>2PC SHIRT SET</t>
  </si>
  <si>
    <t>Q3743D02KDKV</t>
  </si>
  <si>
    <t>Champion Little Boys Camo Script Signat Cargo Olive 4</t>
  </si>
  <si>
    <t>CHY605</t>
  </si>
  <si>
    <t>Epic Threads Big Boys Short Sleeve Striped Oatmeal Heather L 1618</t>
  </si>
  <si>
    <t>100138389BO</t>
  </si>
  <si>
    <t>Hybrid Toddler Boys Jurassic World Ne Navy 2T</t>
  </si>
  <si>
    <t>Epic Threads Epic Threads Toddler Boys Shor Azure Blue 2T</t>
  </si>
  <si>
    <t>100095129LB</t>
  </si>
  <si>
    <t>Nautica Little Boys Uniform Performan Light Blue L 6</t>
  </si>
  <si>
    <t>N481685E</t>
  </si>
  <si>
    <t>Calvin Klein Baby Boys Striped Coverall Navy 0-3 months</t>
  </si>
  <si>
    <t>3L90055-99</t>
  </si>
  <si>
    <t>Nautica Big Girls Tie Dye Jogger Pink Tie Dye M 810</t>
  </si>
  <si>
    <t>NUFEC04S-675</t>
  </si>
  <si>
    <t>ID Ideology Big Girls Quarter-Zip Fleece P Chic Pink L 14</t>
  </si>
  <si>
    <t>Epic Threads Toddler Girls Hooded Pullover Space Dye Yarn 3T</t>
  </si>
  <si>
    <t>100132612LG</t>
  </si>
  <si>
    <t>Carters Baby Girls 2-Pc. Plaid Twill T Mint Newborn</t>
  </si>
  <si>
    <t>Epic Threads Big Girls Long Sleeve Flip Seq Ghost Heather S 810</t>
  </si>
  <si>
    <t>adidas adidas Toddler Girls Long Slee Black with Purple 2T</t>
  </si>
  <si>
    <t>Calvin Klein Big Girls Hipster, Pack of 3 White, Heather Gray, Deep Viol Medium</t>
  </si>
  <si>
    <t>Maidenform Little Big Girls Butterfly-P Navy M 78</t>
  </si>
  <si>
    <t>First Impressions Baby Girls Snowflake Velour To Cherry Red 6-9 months</t>
  </si>
  <si>
    <t>First Impressions Baby Boys Bundled Up Fox Cotto Washed Blue 3-6 months</t>
  </si>
  <si>
    <t>Converse Converse Big Boys Spray Jogger Dark Maroon L 1416</t>
  </si>
  <si>
    <t>Tommy Hilfiger Tommy Hilfiger Big Boys Tie Dy Navy Blazer M 1214</t>
  </si>
  <si>
    <t>TBFEC25F-405</t>
  </si>
  <si>
    <t>Tommy Hilfiger Tommy Hilfiger Toddler Boys Re Portola 2T</t>
  </si>
  <si>
    <t>TBFEC29J-486</t>
  </si>
  <si>
    <t>Nike Baby Boys Printed Coverall Chlorine 3 months</t>
  </si>
  <si>
    <t>First Impressions Baby Boys or Girls Bear Hat Navy Nautical 12-24 months</t>
  </si>
  <si>
    <t>Epic Threads Little Girls All Over Print Le Sunset Flamingo 6X</t>
  </si>
  <si>
    <t>Epic Threads Little Girls Cupcake T-shirt Lavender Pool 6</t>
  </si>
  <si>
    <t>Carters Baby Girls 2-Pc. Cotton Mouse Pink 24 months</t>
  </si>
  <si>
    <t>1I504210</t>
  </si>
  <si>
    <t>Epic Threads Little Boys Short Sleeve Text Jalapeno 7</t>
  </si>
  <si>
    <t>First Impressions Toddler Boys Polar Stripe Knee Slate Heather 4T</t>
  </si>
  <si>
    <t>100137816TB</t>
  </si>
  <si>
    <t>Ring of Fire Big Boys Griffin Cargo Fleece Black Storm L 1416</t>
  </si>
  <si>
    <t>Champion Toddler Boys Signature T-shirt Sunshine 2T</t>
  </si>
  <si>
    <t>Univibe Big Boys Carrey Color Blocked White Small</t>
  </si>
  <si>
    <t>adidas Big Girls Plus Size Zip Front Black with Real Magenta L PLUS</t>
  </si>
  <si>
    <t>AP4538P</t>
  </si>
  <si>
    <t>Under Armour Big Boys Camo Boxers Set, Pack Gray, Black Large</t>
  </si>
  <si>
    <t>adidas Baby Boys Zip Front 3-Stripes Black, Vivid Red 9 months</t>
  </si>
  <si>
    <t>AG6342N</t>
  </si>
  <si>
    <t>Nautica Little Boys Uniform Performan Navy L 6</t>
  </si>
  <si>
    <t>Kids Headquarters Kids Headquarters Toddler Girl Pink 2T</t>
  </si>
  <si>
    <t>11L12013-99</t>
  </si>
  <si>
    <t>Epic Threads Toddler Girls Bow Back Make Ma Aqua Wash 2T</t>
  </si>
  <si>
    <t>Levis 502 Regular Taper-Fit Jeans, Valencia 20</t>
  </si>
  <si>
    <t>Epic Threads Toddler Girls Striped Balloon Pewter Heather 3T</t>
  </si>
  <si>
    <t>First Impressions Baby Girls Metallic Bomber Jac Silver Metallic 6-9 months</t>
  </si>
  <si>
    <t>First Impressions Baby Girls Metallic Bomber Jac Silver Metallic 12 months</t>
  </si>
  <si>
    <t>First Impressions Baby Girls Fleece Yoga Pants Angel White 12 months</t>
  </si>
  <si>
    <t>Nautica Nautica Little Boys Red Velvet Red 6</t>
  </si>
  <si>
    <t>Calvin Klein Big Girls Hipster, Pack of 3 Pink Lady, White, Warm Calvin Small</t>
  </si>
  <si>
    <t>Champion Champion Little Girls Drop Sha Black 5</t>
  </si>
  <si>
    <t>Maidenform Little Big Girls Cropped Ruc Knock Out Pink S 68</t>
  </si>
  <si>
    <t>Calvin Klein Big Girls Hipster, Pack of 3 White, Heather Gray, Deep Viol XLarge</t>
  </si>
  <si>
    <t>Champion Champion Toddler Girls Vertica Pink Candy 2T</t>
  </si>
  <si>
    <t>Disney Toddler Girls Minnie and Frien White 3T</t>
  </si>
  <si>
    <t>T000126GD13096</t>
  </si>
  <si>
    <t>First Impressions Baby Boys Honey Bear Cotton T- True Pine 6-9 months</t>
  </si>
  <si>
    <t>Sleep On It Big Boys 2 Piece Coat Style To Navy L 1214</t>
  </si>
  <si>
    <t>55999-MA</t>
  </si>
  <si>
    <t>Tommy Hilfiger Big Boys Classic Logo Sweatpan Cerulean L 1618</t>
  </si>
  <si>
    <t>TBTFC00F-453</t>
  </si>
  <si>
    <t>Tommy Hilfiger Tommy Hilfiger Big Boys Raglan Natural M 1214</t>
  </si>
  <si>
    <t>Epic Threads Little Girls Solid Skirt Leggi Sunset Flamingo 6X</t>
  </si>
  <si>
    <t>Epic Threads Epic Threads Toddler Girls Gra Peacoat 4T</t>
  </si>
  <si>
    <t>100124635LG</t>
  </si>
  <si>
    <t>First Impressions Toddler Boys Fair Isle Stripe Bone Hthr 3T</t>
  </si>
  <si>
    <t>Tommy Hilfiger Little Big Boys Cotton T-Shi Bright White L 1214</t>
  </si>
  <si>
    <t>First Impressions Baby Boys Polar Bear Cotton T- Passion Blue 6-9 months</t>
  </si>
  <si>
    <t>100138658BB</t>
  </si>
  <si>
    <t>Hurley Hurley Big Boys Plasma Stack T Black Large</t>
  </si>
  <si>
    <t>984836E</t>
  </si>
  <si>
    <t>Hybrid Little Boys The Perfect Child Red Heather 7</t>
  </si>
  <si>
    <t>Hybrid Toddler Boys The Perfect Child Red Heather 2T</t>
  </si>
  <si>
    <t>Champion Big Boys Short Sleeve Signatur White-Dark Blue M 1012</t>
  </si>
  <si>
    <t>Tommy Hilfiger Tommy Hilfiger Big Boys Dot Ve Bright White S 810</t>
  </si>
  <si>
    <t>TBFEB1EF-100</t>
  </si>
  <si>
    <t>Epic Threads Big Girls Long Sleeve Happy Sn Sunset Flamingo S 810</t>
  </si>
  <si>
    <t>Under Armour Big Boys Camo Boxers Set, Pack Gray, Black Small</t>
  </si>
  <si>
    <t>Imperial Star Big Girls Skinny-Fit Destructe Anisa Wash 14</t>
  </si>
  <si>
    <t>IS321A4033</t>
  </si>
  <si>
    <t>Carters Baby Girls 2-Pc. Printed T-Shi Assorted-st 3 months</t>
  </si>
  <si>
    <t>1M701510</t>
  </si>
  <si>
    <t>Epic Threads Big Girls Cozy Fleece Jogger Steel Gray XLarge</t>
  </si>
  <si>
    <t>First Impressions Baby Boys Cotton Colorblocked Willow Hedge 24 months</t>
  </si>
  <si>
    <t>Epic Threads Toddler Girls Long Sleeve Drop Sugar Blue 4T</t>
  </si>
  <si>
    <t>Levis Big Girls Cotton Denim Shortal Denim 16</t>
  </si>
  <si>
    <t>41B121F</t>
  </si>
  <si>
    <t>First Impressions Baby Girls Watercolor Splash H Angel White 3-6 months</t>
  </si>
  <si>
    <t>Epic Threads Toddler Girls All Over Print S Multi 3T</t>
  </si>
  <si>
    <t>100138303LG</t>
  </si>
  <si>
    <t>Epic Threads Toddler Girls All Over Print S Multi 2T</t>
  </si>
  <si>
    <t>Calvin Klein Big Girls 3-Pack Cropped Bra S Pink, Heather Gray, White Mult Small</t>
  </si>
  <si>
    <t>Maidenform Girls Seamless Ruched Crop Br White S 66X</t>
  </si>
  <si>
    <t>Maidenform Little Big Girls 3-Pack Bral Half Moonwhitepearl L 1416</t>
  </si>
  <si>
    <t>RM4489</t>
  </si>
  <si>
    <t>Carters Toddler Girls 2-Pc. Leopard-Pr Print 3T</t>
  </si>
  <si>
    <t>2M504410</t>
  </si>
  <si>
    <t>Calvin Klein Big Girls Hipster, Pack of 3 White, Heather Gray, Deep Viol Large</t>
  </si>
  <si>
    <t>Epic Threads Little Boys 2 Piece All Over P Red Pop 6</t>
  </si>
  <si>
    <t>100135491LB</t>
  </si>
  <si>
    <t>100129485BG</t>
  </si>
  <si>
    <t>T000126GMLP0504</t>
  </si>
  <si>
    <t>IDEOLOGY-EDI/2-6X</t>
  </si>
  <si>
    <t>T000126GD13094</t>
  </si>
  <si>
    <t>W221N06-ME</t>
  </si>
  <si>
    <t>2M455310</t>
  </si>
  <si>
    <t>Kids Headquarters Kids Headquarters Toddler Girl Mauve 4T</t>
  </si>
  <si>
    <t>11L12044-99</t>
  </si>
  <si>
    <t>MAB23381</t>
  </si>
  <si>
    <t>100121867GR</t>
  </si>
  <si>
    <t>First Impressions Baby Boys or Girls Bear Hat Vanilla Bean Ht 12-24 months</t>
  </si>
  <si>
    <t>Kids Headquarters Kids Headquarters Toddler Girl Mauve 3T</t>
  </si>
  <si>
    <t>ID Ideology Big Girls Reversible Jacket Rose Shadow M 1012</t>
  </si>
  <si>
    <t>100135439GR</t>
  </si>
  <si>
    <t>ID Ideology Big Girls Printed Biker Shorts Fresh Orchid L 14</t>
  </si>
  <si>
    <t>100121850GR</t>
  </si>
  <si>
    <t>Tommy Hilfiger Toddler Boys Coat Set, 2 Piece Assorted 2T</t>
  </si>
  <si>
    <t>7711G57</t>
  </si>
  <si>
    <t>Carters Toddler Girls Horse Jersey T-s Ivory 2T</t>
  </si>
  <si>
    <t>2M022310</t>
  </si>
  <si>
    <t>VOLCOM INC</t>
  </si>
  <si>
    <t>First Impressions Baby Boys or Girls Bear Hat Cherry Red 12-24 months</t>
  </si>
  <si>
    <t>ID Ideology Big Girls Printed Biker Shorts Fresh Orchid M 1012</t>
  </si>
  <si>
    <t>Blueberi Boulevard Toddler Girls Mixed Print and Multi 3T</t>
  </si>
  <si>
    <t>Carters Toddler Girls Polka Dot Cozy L Print 5T</t>
  </si>
  <si>
    <t>ID Ideology Big Girls Reversible Jacket Rose Shadow S 78</t>
  </si>
  <si>
    <t>First Impressions Baby Boys Dino Spike Long-Slee Sterling Hthr 12 months</t>
  </si>
  <si>
    <t>Epic Threads Toddler Girls Long Sleeve Drop Lavender Pool 3T</t>
  </si>
  <si>
    <t>First Impressions Baby Boys Snowflake French Ter Sterling Hthr 0-3 months</t>
  </si>
  <si>
    <t>Maidenform Lace-Trim Underwear, Little Pink Hue XL 1416</t>
  </si>
  <si>
    <t>100132992LG</t>
  </si>
  <si>
    <t>100131167BG</t>
  </si>
  <si>
    <t>Champion Champion Big Girls Drop Shadow Pink Candy XLarge</t>
  </si>
  <si>
    <t>Epic Threads Big Girls Fair Isle Fleece Lin Strawberry Pink M 1012</t>
  </si>
  <si>
    <t>First Impressions Baby Boys Husky Pup T-Shirt Sundrop 12 months</t>
  </si>
  <si>
    <t>First Impressions Baby Boys or Girls Velour Cove Navy Nautical Newborn</t>
  </si>
  <si>
    <t>Epic Threads Toddler Girls Long Sleeve Drop Sunset Flamingo 3T</t>
  </si>
  <si>
    <t>First Impressions Baby Girls Fair Isle Hoodie Angel White 6-9 months</t>
  </si>
  <si>
    <t>First Impressions Baby Boys Snowflake French Ter Sterling Hthr 3-6 months</t>
  </si>
  <si>
    <t>100134324GR</t>
  </si>
  <si>
    <t>ID Ideology Big Girls Quarter-Zip Fleece P Chic Pink XL 16</t>
  </si>
  <si>
    <t>First Impressions Baby Girls Corduroy Pants Cherry Red 12 months</t>
  </si>
  <si>
    <t>Epic Threads Big Girls Cozy Fleece Pullover Pastel Tie Dye Medium</t>
  </si>
  <si>
    <t>First Impressions Baby Girls Fair Isle Hoodie Angel White 18 months</t>
  </si>
  <si>
    <t>100133018LG</t>
  </si>
  <si>
    <t>Epic Threads Big Boys Solid Sherpa Joggers Inkspill M 1214</t>
  </si>
  <si>
    <t>100138320LG</t>
  </si>
  <si>
    <t>Epic Threads Toddler Girls Ski Sloth Graphi Sugar Blue 4T</t>
  </si>
  <si>
    <t>Epic Threads Big Girls Cozy Fleece Jogger Pastel Tie Dye Medium</t>
  </si>
  <si>
    <t>Epic Threads Big Boys Long Sleeve Solid Che Dirty Sage L 1618</t>
  </si>
  <si>
    <t>Epic Threads Big Girls Cozy Fleece Jogger Pastel Tie Dye Small</t>
  </si>
  <si>
    <t>First Impressions Baby Boys Cycling Pals Top Cherry Red 3-6 months</t>
  </si>
  <si>
    <t>ID Ideology Big Girls Quarter-Zip Fleece P Sweet Alyssum L 14</t>
  </si>
  <si>
    <t>Champion Little Girls Iridescent Foil S Oxford Heather 6X</t>
  </si>
  <si>
    <t>100138305LG</t>
  </si>
  <si>
    <t>Epic Threads Little Girls Glitter Tutu Skir Sundrop 5</t>
  </si>
  <si>
    <t>Epic Threads Big Girls Cozy Fleece Pullover Pastel Tie Dye Large</t>
  </si>
  <si>
    <t>1M730110</t>
  </si>
  <si>
    <t>Epic Threads Big Girls Cozy Fleece Jogger Frosted Gray Large</t>
  </si>
  <si>
    <t>100133111GR</t>
  </si>
  <si>
    <t>Epic Threads Epic Threads Big Girls Quilt S Angel White L 1214</t>
  </si>
  <si>
    <t>100140184GR</t>
  </si>
  <si>
    <t>100132598LG</t>
  </si>
  <si>
    <t>Epic Threads Big Girls Long Sleeve Happy Sn Sunset Flamingo M 1012</t>
  </si>
  <si>
    <t>Champion Champion Big Girls Avenue Bean Black, White ONE SIZE</t>
  </si>
  <si>
    <t>CV5-0738</t>
  </si>
  <si>
    <t>Epic Threads Toddler Girls Happiness T-shir Angel White 2T</t>
  </si>
  <si>
    <t>CTFDB29F-622</t>
  </si>
  <si>
    <t>First Impressions Baby Girls 2-Pc. Glitter Velou Lavender Pool 24 months</t>
  </si>
  <si>
    <t>Epic Threads Toddler Girls Bow Back Astro H Charcoal Heather 4T</t>
  </si>
  <si>
    <t>ID Ideology Toddler Little Girls 2-Pc. S Rose Shadow 5</t>
  </si>
  <si>
    <t>ID Ideology Big Girls Rainbow-Stripe Fleec Rose Shadow XL 16</t>
  </si>
  <si>
    <t>100140766LG</t>
  </si>
  <si>
    <t>TIANA DREAMS LS TEE</t>
  </si>
  <si>
    <t>T000251GD13424</t>
  </si>
  <si>
    <t>AA7243</t>
  </si>
  <si>
    <t>ID Ideology Little Girl Rainbow Fleece Hoo Rose Shadow 5</t>
  </si>
  <si>
    <t>First Impressions Baby Girls Prancing Unicorn Lo Sundrop 12 months</t>
  </si>
  <si>
    <t>100138292LG</t>
  </si>
  <si>
    <t>Epic Threads Big Girls Fair Isle Fleece Lin Violet Light M 1012</t>
  </si>
  <si>
    <t>Epic Threads Big Girls Fair Isle Fleece Lin Strawberry Pink S 810</t>
  </si>
  <si>
    <t>First Impressions Baby Girls Corduroy Pants Cherry Red 24 months</t>
  </si>
  <si>
    <t>ID Ideology Big Girls Printed Biker Shorts Fresh Orchid XL 16</t>
  </si>
  <si>
    <t>First Impressions Baby Boys Fun Fair Isle Jogger Washed Indigo 12 months</t>
  </si>
  <si>
    <t>Epic Threads Toddler Girls Water-resistant Tango Red 4T</t>
  </si>
  <si>
    <t>100133079LG</t>
  </si>
  <si>
    <t>Epic Threads Little Boys Knit Waist Denim S Dalton Wash 7</t>
  </si>
  <si>
    <t>100138404LB</t>
  </si>
  <si>
    <t>Epic Threads Epic Threads Big Girls Quilt S Angel White XL 16</t>
  </si>
  <si>
    <t>Epic Threads Toddler Girls Heart 3D Graphic Holiday Ivory 2T</t>
  </si>
  <si>
    <t>First Impressions Baby Boys Colorblocked Hoodie Pewter Hthr 6-9 months</t>
  </si>
  <si>
    <t>1J212510</t>
  </si>
  <si>
    <t>Carters 4-Piece Hearts 100 Snug Fit C Green 24 months</t>
  </si>
  <si>
    <t>1M064510</t>
  </si>
  <si>
    <t>AA7302</t>
  </si>
  <si>
    <t>adidas Little Boys Long Sleeve Double Black 7</t>
  </si>
  <si>
    <t>CHG701</t>
  </si>
  <si>
    <t>First Impressions Baby Boys Dino Spike Long-Slee Sterling Hthr 6-9 months</t>
  </si>
  <si>
    <t>First Impressions Baby Boys or Girls Velour Cove Navy Nautical 3-6 months</t>
  </si>
  <si>
    <t>AA7323</t>
  </si>
  <si>
    <t>91R514F</t>
  </si>
  <si>
    <t>Epic Threads Toddler Boys Knit Waist Denim Lucas Wash 3T</t>
  </si>
  <si>
    <t>AA7231</t>
  </si>
  <si>
    <t>ID Ideology Big Girls Quarter-Zip Fleece P Ivory Cloud S 78</t>
  </si>
  <si>
    <t>First Impressions Baby Boys Dino Spike Long-Slee Sterling Hthr 0-3 months</t>
  </si>
  <si>
    <t>12 M</t>
  </si>
  <si>
    <t>Epic Threads Toddler Girls Heart Graphic Ve Sugar Blue 3T</t>
  </si>
  <si>
    <t>Champion Little Boys All Over Print Cam Camo Desert 7</t>
  </si>
  <si>
    <t>Star Wars Toddler Boys Grogu Short Sleev Green Tie Dye 3T</t>
  </si>
  <si>
    <t>100133081LG</t>
  </si>
  <si>
    <t>85A759G</t>
  </si>
  <si>
    <t>NUFBB121-361</t>
  </si>
  <si>
    <t>Epic Threads Toddler Girls Bow Front Shorti Charcoal Heather 2T</t>
  </si>
  <si>
    <t>Batman Little Boys Batman Short Sleev Blue Tie Dye 5</t>
  </si>
  <si>
    <t>Hybrid Toddler Boys Spiderman Short S Red Tie Dye 3T</t>
  </si>
  <si>
    <t>Epic Threads Toddler Girls Fair Isle Fleece Violet Light 4T</t>
  </si>
  <si>
    <t>First Impressions Baby Boys Colorblocked Hoodie Pewter Hthr 3-6 months</t>
  </si>
  <si>
    <t>First Impressions Baby Boys Sugar Splash Tie-Dye Washed Indigo 0-3 months</t>
  </si>
  <si>
    <t>100133877BB</t>
  </si>
  <si>
    <t>Nautica Little Girls Zip-Up Fleece Hoo Su Navy 6</t>
  </si>
  <si>
    <t>NUFCB49R</t>
  </si>
  <si>
    <t>Nike Nike Big Boys Dri-Fit Sleevele Deep Royal Blue, White S 810</t>
  </si>
  <si>
    <t>DA0357</t>
  </si>
  <si>
    <t>Carters Baby Boys Lion Bodysuits, Pack Gray 6-24 months</t>
  </si>
  <si>
    <t>1K648510</t>
  </si>
  <si>
    <t>Carters Baby Girls Cozy Leggings Black 2T</t>
  </si>
  <si>
    <t>2M064111</t>
  </si>
  <si>
    <t>Epic Threads Toddler Girls Stripe Heart Poc Pink Tulip 4T</t>
  </si>
  <si>
    <t>Levis Levis Big Boys Relaxed Jogger Peacoat XL 1820</t>
  </si>
  <si>
    <t>Carters Baby Girls 2-Pc. Bears Bodysui Green 12 months</t>
  </si>
  <si>
    <t>1M739410</t>
  </si>
  <si>
    <t>Epic Threads Toddler Boys Basic Solid T-shi Peacoat 3T</t>
  </si>
  <si>
    <t>Epic Threads Little Girls Bow Front Shortie Deep Black 6</t>
  </si>
  <si>
    <t>Carters Baby Girls Pull-On Shorts Pink 3 months</t>
  </si>
  <si>
    <t>1L720110</t>
  </si>
  <si>
    <t>Nautica Big Boys Husky Boys Performa White L Husky 1416</t>
  </si>
  <si>
    <t>First Impressions Baby Girls Cotton Ruffle-Trim Blossom Mist 12 months</t>
  </si>
  <si>
    <t>100136260BG</t>
  </si>
  <si>
    <t>First Impressions Baby Boys Sugar Splash Tie-Dye Washed Indigo 18 months</t>
  </si>
  <si>
    <t>Jordan Jordan Big Boys Air Jordan Sho Black S 8</t>
  </si>
  <si>
    <t>Epic Threads Big Girls Solid Sweater Leggin Candy Fizz M 1012</t>
  </si>
  <si>
    <t>Carters Cute Little Sister Bodysuit Pink 18 months</t>
  </si>
  <si>
    <t>1M100610</t>
  </si>
  <si>
    <t>Tommy Hilfiger Baby Girls 2-Pc. Dot-Print Tun Blue 18 months</t>
  </si>
  <si>
    <t>TGFDI23P-999</t>
  </si>
  <si>
    <t>First Impressions Baby Girls Giraffe-Print Cotto Sea Angel 24 months</t>
  </si>
  <si>
    <t>100123697BG</t>
  </si>
  <si>
    <t>ID Ideology Big Girls Layered-Look Tie-Dye Fresh Orchid M 1012</t>
  </si>
  <si>
    <t>Champion Champion Big Girls Leopard Pri White S 8</t>
  </si>
  <si>
    <t>CHG332</t>
  </si>
  <si>
    <t>Levis 502 Regular Taper-Fit Jeans, Sharkley 18</t>
  </si>
  <si>
    <t>Champion Champion Big Girls Leopard Scr Granite Heather M 1012</t>
  </si>
  <si>
    <t>CHG705</t>
  </si>
  <si>
    <t>First Impressions Baby Girls 3-Pc. Faux-Fur Hood Angora Pink 6-9 months</t>
  </si>
  <si>
    <t>100129442BG</t>
  </si>
  <si>
    <t>Nike Nike Dri-FIT Sprinter Big Girl Black 2 L 14</t>
  </si>
  <si>
    <t>DA1314</t>
  </si>
  <si>
    <t>Epic Threads Epic Threads Little Boys Solid White 7</t>
  </si>
  <si>
    <t>Hudson Baby Hudson Baby Baby Girls and Boy Multi 0-3 months</t>
  </si>
  <si>
    <t>Nike Nike Big Girls Sportswear Prin Lime Ice, Black XL 1820</t>
  </si>
  <si>
    <t>DD7377</t>
  </si>
  <si>
    <t>ID Ideology Little Girl Rainbow Fleece Hoo Ghost Heather 3T</t>
  </si>
  <si>
    <t>First Impressions Baby Boys Lightning Bolt Hoode Sundrop 6-9 months</t>
  </si>
  <si>
    <t>First Impressions Baby Boys Lightning Bolt Hoode Sundrop 0-3 months</t>
  </si>
  <si>
    <t>Hybrid Toddler Boys Now or Never T-sh Red HeatherCharcoal 2T</t>
  </si>
  <si>
    <t>2TBMVL2086</t>
  </si>
  <si>
    <t>Minecraft Big Boys Minecraft Pajamas, 4 Assorted 8</t>
  </si>
  <si>
    <t>MF350BLLMA</t>
  </si>
  <si>
    <t>First Impressions Toddler Girls Ruffle-Hem Leggi Sundrop 2T</t>
  </si>
  <si>
    <t>First Impressions Baby Boys Sugar Splash Tie-Dye Washed Indigo 24 months</t>
  </si>
  <si>
    <t>First Impressions Baby Boys Fun Fair Isle Jogger Washed Indigo 18 months</t>
  </si>
  <si>
    <t>Carters Raglan-Sleeve Bodysuit Blue 3 months</t>
  </si>
  <si>
    <t>1M200910</t>
  </si>
  <si>
    <t>Beautees Big Girls Front Tie Back Strap Pink Small</t>
  </si>
  <si>
    <t>7709Y11</t>
  </si>
  <si>
    <t>Nike Nike Big Boys Dri-Fit Sleevele Deep Royal Blue, White L 1416</t>
  </si>
  <si>
    <t>Carters Toddler Girls 2-Pc. Fox Top Assorted-st 5T</t>
  </si>
  <si>
    <t>Epic Threads Toddler Boys Short Sleeve Holi Sodalite Blue 3T</t>
  </si>
  <si>
    <t>100133759LB</t>
  </si>
  <si>
    <t>Berkshire Little Boys Paw Patrol Hat M Navy ONE SIZE</t>
  </si>
  <si>
    <t>PAW1438</t>
  </si>
  <si>
    <t>Champion Toddler Girls Iridescent Foil Oxford Heather 3T</t>
  </si>
  <si>
    <t>Rare Editions Big Girls Lurex Knit Dress and Red 14</t>
  </si>
  <si>
    <t>H433191</t>
  </si>
  <si>
    <t>Champion Little Boys Script Over Camo H Cargo Olive 6</t>
  </si>
  <si>
    <t>Hybrid Toddler Boys Snack All Day Pla Charcoal Heather 2T</t>
  </si>
  <si>
    <t>1JBY1711</t>
  </si>
  <si>
    <t>Star Wars Little Boys Grogu Short Sleeve Green Tie Dye 7</t>
  </si>
  <si>
    <t>Disney Little Girls Princess Stronger Lavender 6</t>
  </si>
  <si>
    <t>Baby Shark Toddler Girls Baby Shark Pajam Assorted 2T</t>
  </si>
  <si>
    <t>UI072TLLMA</t>
  </si>
  <si>
    <t>Tommy Hilfiger Big Girls Granny Gown Assorted S 67</t>
  </si>
  <si>
    <t>5D017GGLMA</t>
  </si>
  <si>
    <t>First Impressions Baby Girls Space Heart Peplum Deep Black 3-6 months</t>
  </si>
  <si>
    <t>100138599BG</t>
  </si>
  <si>
    <t>Nautica Big Boys Stretch Oxford Shirt White L 1416</t>
  </si>
  <si>
    <t>NUACB01F-100</t>
  </si>
  <si>
    <t>First Impressions Baby Girls Scribble Fair Isle Angel White 6-9 months</t>
  </si>
  <si>
    <t>First Impressions Baby Boys Husky Pup Long-Sleev Sundrop 24 months</t>
  </si>
  <si>
    <t>Epic Threads Little Girls Stripe Based Legg Ghost Heather 6X</t>
  </si>
  <si>
    <t>100138322LG</t>
  </si>
  <si>
    <t>Epic Threads Little Girls All Over Print Le Sunset Flamingo 6</t>
  </si>
  <si>
    <t>Epic Threads Little Girls Heart All-Over-Pr Pink Dogwood 5</t>
  </si>
  <si>
    <t>Champion Big Boys Signature Fleece Hood Azalea Pink L 1416</t>
  </si>
  <si>
    <t>InMocean Little Girls 3 Piece Chenille Multi</t>
  </si>
  <si>
    <t>DFA31214-MAC-MLT</t>
  </si>
  <si>
    <t>Tommy Hilfiger Tommy Hilfiger Baby Girls 2 Pi Multi 18 months</t>
  </si>
  <si>
    <t>61K02040-99</t>
  </si>
  <si>
    <t>REPREVESKINNYJEANS</t>
  </si>
  <si>
    <t>GOGO-60211</t>
  </si>
  <si>
    <t>Carters Cousin Crew Long-Sleeve Bodysu Navy Blue 12 months</t>
  </si>
  <si>
    <t>First Impressions Baby Girls Candy Hearts Long S Pure Lavender Newborn</t>
  </si>
  <si>
    <t>First Impressions Baby Girl Slv Ruffle Hoodie Cherry Red 3-6 months</t>
  </si>
  <si>
    <t>First Impressions Baby Girls Cherry-Print Covera Angel White 3-6 months</t>
  </si>
  <si>
    <t>Champion Champion Big Girls Drop Shadow Pink Candy Small</t>
  </si>
  <si>
    <t>Champion Champion Big Girls Boxy T-shir White L 1416</t>
  </si>
  <si>
    <t>CHG065</t>
  </si>
  <si>
    <t>Carters Baby Boys Zip-up Sherpa Jacket Navy 9 months</t>
  </si>
  <si>
    <t>Carters Baby Boys 3-Pc. Sweater Vest, Gray 24 months</t>
  </si>
  <si>
    <t>1J181810</t>
  </si>
  <si>
    <t>First Impressions Baby Girls 2-Pc. Quilted Ruffl Sundrop 18 months</t>
  </si>
  <si>
    <t>First Impressions Baby Girls Candy Hearts Long S Pure Lavender 12 months</t>
  </si>
  <si>
    <t>adidas Big Boys Aeroready Techfit Tig Team Royal Blue 1012</t>
  </si>
  <si>
    <t>First Impressions Baby Girls Solid Ruffle-Hem Le Lavendar Pool 12 months</t>
  </si>
  <si>
    <t>Epic Threads Little Girls Ruffle-Hem All-Ov Cherry Flame 5</t>
  </si>
  <si>
    <t>First Impressions Toddler Girls Cupcake-Print Tu Slate Heather 4T</t>
  </si>
  <si>
    <t>First Impressions Toddler Girls Cupcake-Print Tu Slate Heather 3T</t>
  </si>
  <si>
    <t>Epic Threads Little Girls Ruffle-Hem All-Ov Cherry Flame 6X</t>
  </si>
  <si>
    <t>Calvin Klein Calvin Klein Big Boys Logo Wai Oatmeal Heather M 1012</t>
  </si>
  <si>
    <t>Carters Baby Girls Cozy Leggings Black 4T</t>
  </si>
  <si>
    <t>Carters Carters Big Boys Iguana Slub White 6</t>
  </si>
  <si>
    <t>3I548410</t>
  </si>
  <si>
    <t>Celebrity Pink Celebrity Pink Big Girls Pull Matapalo 7</t>
  </si>
  <si>
    <t>Calvin Klein Baby Girls Leopard-Print Fleec Blackwhite 12 months</t>
  </si>
  <si>
    <t>3L01101-99</t>
  </si>
  <si>
    <t>Kids Headquarters Baby Girls 2-Pc. Textured Ruff White 6-9 months</t>
  </si>
  <si>
    <t>Nike Nike Big Boys Dri-Fit Sleevele Deep Royal Blue, White M 1012</t>
  </si>
  <si>
    <t>First Impressions Baby Boys Polar Bear Cotton T- Sea Angel 12 months</t>
  </si>
  <si>
    <t>100123619BB</t>
  </si>
  <si>
    <t>Champion Champion Big Girls Leopard Kno Oxford Heather XL 1820</t>
  </si>
  <si>
    <t>CHG330</t>
  </si>
  <si>
    <t>Epic Threads Toddler Boys Solid Basic Tee, Black 2T</t>
  </si>
  <si>
    <t>Berkshire Little Girls Fashion Headband Wine ONE SIZE</t>
  </si>
  <si>
    <t>GEN28016-P</t>
  </si>
  <si>
    <t>Baby Shark Toddler Girls Baby Shark Pajam Assorted 4T</t>
  </si>
  <si>
    <t>Laguna Big Boys Surf Beat Rash Guard Blue Atoll L 1416</t>
  </si>
  <si>
    <t>LBT9470</t>
  </si>
  <si>
    <t>Carters 3-Piece Floral Little Jacket S Pink 24 months</t>
  </si>
  <si>
    <t>1M021010</t>
  </si>
  <si>
    <t>First Impressions Baby Boys Coverall Hat Set Ever Red Newborn</t>
  </si>
  <si>
    <t>First Impressions Baby Boys Polar Pal T-Shirt Sterling Hthr 6-9 months</t>
  </si>
  <si>
    <t>Timberland Timberland Little Boys Branded Black 5</t>
  </si>
  <si>
    <t>Epic Threads Toddler Girls Ruffle-Hem All-O Cherry Flame 3T</t>
  </si>
  <si>
    <t>Disney Princess Little Girls Disney Princess F Assorted 6</t>
  </si>
  <si>
    <t>DP584GSLMA</t>
  </si>
  <si>
    <t>Champion Big Girls Glitter C Script Hoo Black S 8</t>
  </si>
  <si>
    <t>adidas Big Boys Badge of Sport Shorts Black XL 1820</t>
  </si>
  <si>
    <t>AH5588</t>
  </si>
  <si>
    <t>Carters Baby Girls 3-Pc. Bodysuit, Pan Brown Newborn</t>
  </si>
  <si>
    <t>Hybrid Toddler Boys Teenage Mutant Ni Heather Gray 3T</t>
  </si>
  <si>
    <t>2JTMNT2311</t>
  </si>
  <si>
    <t>Epic Threads Toddler Girls Bow Back Make Ma Aqua Wash 4T</t>
  </si>
  <si>
    <t>100138317LG</t>
  </si>
  <si>
    <t>ID Ideology Toddler Little Girls Tie-Dye Rose Shadow 6</t>
  </si>
  <si>
    <t>100136617LG</t>
  </si>
  <si>
    <t>Epic Threads Little Boys Knit Waist Denim S Lucas Wash 7</t>
  </si>
  <si>
    <t>100138403LB</t>
  </si>
  <si>
    <t>First Impressions Baby Boys Monster Party Long-S Slate Heather 6-9 months</t>
  </si>
  <si>
    <t>Maidenform Big Girls 3-Pack Cropped Cotto Ski Llamasairby Bluewhite S 68</t>
  </si>
  <si>
    <t>ID Ideology Little Girl Rainbow Fleece Hoo Rose Shadow 3T</t>
  </si>
  <si>
    <t>First Impressions Baby Boys Sugar Splash Tie-Dye Washed Indigo 3-6 months</t>
  </si>
  <si>
    <t>Epic Threads Toddler Girls Happiness T-shir Angel White 4T</t>
  </si>
  <si>
    <t>100138531LG</t>
  </si>
  <si>
    <t>Epic Threads Little Girls Graphic T-shirt Sunset Flamingo 6X</t>
  </si>
  <si>
    <t>JSNOWW</t>
  </si>
  <si>
    <t>5548CB</t>
  </si>
  <si>
    <t>1J172010</t>
  </si>
  <si>
    <t>86I206G</t>
  </si>
  <si>
    <t>100138332LG</t>
  </si>
  <si>
    <t>First Impressions Baby Girls Floating Love Jogge Sunset Flamingo 18 months</t>
  </si>
  <si>
    <t>100137326BG</t>
  </si>
  <si>
    <t>Epic Threads Big Girls Long Sleeve All Over Sugar Blue XL 1820</t>
  </si>
  <si>
    <t>100138485GR</t>
  </si>
  <si>
    <t>First Impressions Baby Boys 2-Pc. Bear Sweatshir Indigo Dye Heather 6-9 months</t>
  </si>
  <si>
    <t>100135696BB</t>
  </si>
  <si>
    <t>100138521BB</t>
  </si>
  <si>
    <t>Epic Threads Little Girls Rainbow Unicorn T Holiday Ivory 6</t>
  </si>
  <si>
    <t>100140758LG</t>
  </si>
  <si>
    <t>Epic Threads Epic Threads Big Boys Camo Poc Gossamer Green S 810</t>
  </si>
  <si>
    <t>First Impressions Toddler Boys Sugar Splash Tie- Sugar Blue 4T</t>
  </si>
  <si>
    <t>100138653TB</t>
  </si>
  <si>
    <t>Epic Threads Toddler Girls Ruffle-Hem All-O Cherry Flame 4T</t>
  </si>
  <si>
    <t>Champion Toddler Girls Cargo Pants with Black 3T</t>
  </si>
  <si>
    <t>Epic Threads Toddler Girls Rainbow Unicorn Holiday Ivory 4T</t>
  </si>
  <si>
    <t>First Impressions Baby Boys Mini Monster Long-Sl Sundrop 18 months</t>
  </si>
  <si>
    <t>Hybrid Toddler Boys Teenage Mutant Ni Heather Gray 2T</t>
  </si>
  <si>
    <t>100138304LG</t>
  </si>
  <si>
    <t>First Impressions Baby Boys Rib-Trim Cotton Jogg Sundrop 18 months</t>
  </si>
  <si>
    <t>Champion Big Girls Glitter C Script Hoo Black L 14</t>
  </si>
  <si>
    <t>First Impressions Baby Boys Lightning Bolt Hoode Sundrop 3-6 months</t>
  </si>
  <si>
    <t>85A757G</t>
  </si>
  <si>
    <t>ID Ideology Big Girls Keyhole Hoodie First Blush M 1012</t>
  </si>
  <si>
    <t>First Impressions Baby Boys Sleepy Cloud Long Sl Washed Indigo 0-3 months</t>
  </si>
  <si>
    <t>Nike Nike Baby Boys Tricot Coverall Black 0-3 months</t>
  </si>
  <si>
    <t>56F711G</t>
  </si>
  <si>
    <t>CHB381</t>
  </si>
  <si>
    <t>Hybrid Toddler Boys Batman Another Da Black 2T</t>
  </si>
  <si>
    <t>BRA 2PK CROP</t>
  </si>
  <si>
    <t>Evy of California Unicorn Dreams Big Girls Pullo Multi XL 16</t>
  </si>
  <si>
    <t>KE00371GLSE651</t>
  </si>
  <si>
    <t>Epic Threads Toddler Girls Happy Graphic T- Sunset Flamingo 2T</t>
  </si>
  <si>
    <t>Epic Threads Little Girls Fair Isle Fleece Violet Light 6</t>
  </si>
  <si>
    <t>adidas Big Boys Focus Joggers Charcoal Gray Heather M 1012</t>
  </si>
  <si>
    <t>AK5801</t>
  </si>
  <si>
    <t>Epic Threads Toddler Boys Knit Waist Denim Lucas Wash 4T</t>
  </si>
  <si>
    <t>Epic Threads Toddler Girls Bow Back Make Ma Aqua Wash 3T</t>
  </si>
  <si>
    <t>ID Ideology Big Girls Velour Logo Tape Pan Sweet Alyssum L 14</t>
  </si>
  <si>
    <t>100130423GR</t>
  </si>
  <si>
    <t>100100111BB</t>
  </si>
  <si>
    <t>AK4772</t>
  </si>
  <si>
    <t>2JBJW243</t>
  </si>
  <si>
    <t>First Impressions Baby Girls Floating Love Jogge Sunset Flamingo 6-9 months</t>
  </si>
  <si>
    <t>CHAMPION PAISLE</t>
  </si>
  <si>
    <t>CHG711</t>
  </si>
  <si>
    <t>KIDS</t>
  </si>
  <si>
    <t>UPC DEFAULT</t>
  </si>
  <si>
    <t>NON-MRCHNDSE USE ONLY</t>
  </si>
  <si>
    <t>EQBBS03554</t>
  </si>
  <si>
    <t>Jordan Big Boys Cotton Jumpman Logo T Gym Red L 1416</t>
  </si>
  <si>
    <t>956306G</t>
  </si>
  <si>
    <t>100135974BG</t>
  </si>
  <si>
    <t>Epic Threads Little Boys Camo Basic Tee, Cr Pine Brush 6</t>
  </si>
  <si>
    <t>ID Ideology Big Girls Quarter-Zip Fleece P Ivory Cloud L 14</t>
  </si>
  <si>
    <t>Epic Threads Little Boys Camo Basic Tee, Cr Pine Brush 7</t>
  </si>
  <si>
    <t>95A616G</t>
  </si>
  <si>
    <t>Champion Toddler Boys Short Sleeve Sign Dark Blue 3T</t>
  </si>
  <si>
    <t>MW1138VLLMA</t>
  </si>
  <si>
    <t>Nautica Little Boys Full Zip Tie Dye F Gray Tie Dye L 6</t>
  </si>
  <si>
    <t>Epic Threads Epic Threads Little Boys Solid Black 7</t>
  </si>
  <si>
    <t>Nautica Little Boys Camo Print Fleece Olive Camo M 5</t>
  </si>
  <si>
    <t>NUFEC08E-305</t>
  </si>
  <si>
    <t>NUFEC03E-414</t>
  </si>
  <si>
    <t>ID Ideology Big Girls Neon Sweatshirt Training Yellow M 1012</t>
  </si>
  <si>
    <t>100135445GR</t>
  </si>
  <si>
    <t>First Impressions Baby Boys Colorblocked Snowsui Red Pop 6-9 months</t>
  </si>
  <si>
    <t>3L01103-99</t>
  </si>
  <si>
    <t>AME The Mandalorian Big Boys 2- Pi Assorted 8</t>
  </si>
  <si>
    <t>Nautica Little Boys Side Stripe Fleece Heather Gray L 6</t>
  </si>
  <si>
    <t>NUFEB04E-050</t>
  </si>
  <si>
    <t>TBFEM10J-611</t>
  </si>
  <si>
    <t>Nautica Little Boys Camo Print Fleece Blue Camo S 4</t>
  </si>
  <si>
    <t>NUFEC08E-460</t>
  </si>
  <si>
    <t>Nautica Big Boys Camo Print Crewneck S Blue Camo L 1416</t>
  </si>
  <si>
    <t>NUFEB10F-460</t>
  </si>
  <si>
    <t>Epic Threads Epic Threads Big Boys Solid Ba Navy M 1214</t>
  </si>
  <si>
    <t>91C214F</t>
  </si>
  <si>
    <t>ID Ideology Big Girls Neon Jogger Pants Training Yellow L 14</t>
  </si>
  <si>
    <t>Tommy Hilfiger Tommy Hilfiger Baby Girls Ruff Gray 12 months</t>
  </si>
  <si>
    <t>61L02010-99</t>
  </si>
  <si>
    <t>Nautica Little Boys Side Stripe Fleece Heather Gray M 5</t>
  </si>
  <si>
    <t>Nautica Little Boys Full Zip Tie Dye F Gray Tie Dye S 4</t>
  </si>
  <si>
    <t>ID Ideology Little Girl Rainbow Stripes Jo Rose Shadow 5</t>
  </si>
  <si>
    <t>Univibe Big Boys Greenwood Thermal T-s White Large</t>
  </si>
  <si>
    <t>UB221472</t>
  </si>
  <si>
    <t>11L82003-99</t>
  </si>
  <si>
    <t>Epic Threads Big Girls Solid Sherpa Jogger Sunset Flamingo XLarge</t>
  </si>
  <si>
    <t>Nautica Little Boys Full Zip Tie Dye F Gray Tie Dye XL 7</t>
  </si>
  <si>
    <t>Mickey Mouse Mickey Mouse Baby Boys Pajama Assorted 12 months</t>
  </si>
  <si>
    <t>MK848YLLMA</t>
  </si>
  <si>
    <t>Nautica Little Boys Side Stripe Fleece Heather Gray S 4</t>
  </si>
  <si>
    <t>ID Ideology Little Girl Rainbow Stripes Jo Rose Shadow 2T</t>
  </si>
  <si>
    <t>Mickey Mouse Mickey Mouse Baby Boys Pajama Assorted 24 months</t>
  </si>
  <si>
    <t>Epic Threads Big Girls Solid Sherpa Jogger Sunset Flamingo Large</t>
  </si>
  <si>
    <t>NUFEC03E-050</t>
  </si>
  <si>
    <t>ID Ideology Little Girls Fleece Jogger Pan Candy Fizz 4T</t>
  </si>
  <si>
    <t>Nautica Little Boys Camo Print Fleece Blue Camo M 5</t>
  </si>
  <si>
    <t>Minnie Mouse Minnie Mouse Baby Girls Pajama Assorted 18 months</t>
  </si>
  <si>
    <t>100133585BO</t>
  </si>
  <si>
    <t>UB221468</t>
  </si>
  <si>
    <t>Univibe Big Boys Greenwood Thermal T-s White XLarge</t>
  </si>
  <si>
    <t>Calvin Klein Baby Girls Ruffled Velour Dres Fuschia Pink 18 months</t>
  </si>
  <si>
    <t>Tommy Hilfiger Tommy Hilfiger Toddler Boys Ca True Red 4T</t>
  </si>
  <si>
    <t>ID Ideology Big Girls Neon Jogger Pants Training Yellow M 1012</t>
  </si>
  <si>
    <t>Nautica Little Boys Camo Print Fleece Olive Camo S 4</t>
  </si>
  <si>
    <t>41L52020-99</t>
  </si>
  <si>
    <t>Nautica Little Boys Side Stripe Fleece Navy M 5</t>
  </si>
  <si>
    <t>NUFEB04E-414</t>
  </si>
  <si>
    <t>100137298BG</t>
  </si>
  <si>
    <t>Epic Threads Little Girls Snowflake T-shirt Aqua Wash 5</t>
  </si>
  <si>
    <t>First Impressions Baby Girls Penguin Skate Long- Lavendar Pool 12 months</t>
  </si>
  <si>
    <t>First Impressions Baby Boys Striped Cotton Jogge Passion Blue 24 months</t>
  </si>
  <si>
    <t>100136055BB</t>
  </si>
  <si>
    <t>Epic Threads Big Girls Tie Dye Sherpa Jogge Sugar Blue Small</t>
  </si>
  <si>
    <t>552348-MA</t>
  </si>
  <si>
    <t>Epic Threads Epic Threads Big Girls Quilted Angel White M 810</t>
  </si>
  <si>
    <t>100140185GR</t>
  </si>
  <si>
    <t>100130464LG</t>
  </si>
  <si>
    <t>Champion Champion Big Girls Raglan Hood Pink Candy L 1416</t>
  </si>
  <si>
    <t>7354CG</t>
  </si>
  <si>
    <t>Sleep On It Big Girls Pajama Set, 2 Piece Blue 10-12</t>
  </si>
  <si>
    <t>552058-MA</t>
  </si>
  <si>
    <t>First Impressions Baby Boys Papa Walrus Long-Sle Salmon Creek 3-6 months</t>
  </si>
  <si>
    <t>ID Ideology Big Girls Pink Fleece Sweatshi Fresh Orchid S 78</t>
  </si>
  <si>
    <t>100133041GR</t>
  </si>
  <si>
    <t>ID Ideology Big Girls Quarter-Zip Fleece P Deep Black S 78</t>
  </si>
  <si>
    <t>Sleep On It Big Girls Mermaid Onesie Multi 10-12</t>
  </si>
  <si>
    <t>First Impressions Baby Girls Flutter Tunic, Crea Angel White 24 months</t>
  </si>
  <si>
    <t>InMocean Little Girls Rainbow Ear Sherp Multi</t>
  </si>
  <si>
    <t>DFA31225-MAC-MLT</t>
  </si>
  <si>
    <t>100136072BB</t>
  </si>
  <si>
    <t>100136265BG</t>
  </si>
  <si>
    <t>ID Ideology Little Girls Fleece Sweatshirt Candy Fizz 6</t>
  </si>
  <si>
    <t>DD8582</t>
  </si>
  <si>
    <t>Spider-Man Big Boys Spiderman Pajamas, 2 Assorted 8</t>
  </si>
  <si>
    <t>SM212BLLMA</t>
  </si>
  <si>
    <t>Epic Threads Toddler Girls Long Sleeve Drop Holiday Ivory 2T</t>
  </si>
  <si>
    <t>First Impressions Baby Girls Flutter Tunic, Crea Angel White 12 months</t>
  </si>
  <si>
    <t>Love Diana Love Diana Big Girls Pajama, 2 Assorted 8</t>
  </si>
  <si>
    <t>GA000GLLMA</t>
  </si>
  <si>
    <t>First Impressions Baby Girls Space Heart Long-Sl Deep Black 12 months</t>
  </si>
  <si>
    <t>Sleep On It Little Boys Bear Onesie Red 6-7</t>
  </si>
  <si>
    <t>ID Ideology Big Girls Quarter-Zip Fleece P Deep Black L 14</t>
  </si>
  <si>
    <t>Nike 3BRAND by Russell Wilson 3Brand by Russell Wilson Big B Iron Gray M 1012</t>
  </si>
  <si>
    <t>9Q0046G</t>
  </si>
  <si>
    <t>ID Ideology Big Girls Quarter-Zip Fleece P Ivory Cloud M 1012</t>
  </si>
  <si>
    <t>ID Ideology Little Girl Rainbow Stripes Jo Rose Shadow 4T</t>
  </si>
  <si>
    <t>Berkshire Little Girls Fashion Headband Natural ONE SIZE</t>
  </si>
  <si>
    <t>GEN28016-I</t>
  </si>
  <si>
    <t>ID Ideology Big Girls Neon Sweatshirt Training Yellow XL 16</t>
  </si>
  <si>
    <t>First Impressions Baby Boys Colorblocked Snowsui Red Pop 12 months</t>
  </si>
  <si>
    <t>Tommy Hilfiger Big Boys Pajama Set, 2 Piece Assorted L 1214</t>
  </si>
  <si>
    <t>5D023BLLMA</t>
  </si>
  <si>
    <t>ID Ideology Big Girls Pink Fleece Sweatshi Fresh Orchid XL 16</t>
  </si>
  <si>
    <t>ID Ideology Big Girls Quarter-Zip Fleece P Sweet Alyssum S 78</t>
  </si>
  <si>
    <t>ID Ideology Little Girl Rainbow Stripes Jo Rose Shadow 3T</t>
  </si>
  <si>
    <t>MW1135TLLMA</t>
  </si>
  <si>
    <t>ID Ideology Little Girls Quarter-Zip Fleec Pink Polish 6X</t>
  </si>
  <si>
    <t>ID Ideology Little Girls Quarter-Zip Fleec Ivory Cloud 5</t>
  </si>
  <si>
    <t>ID Ideology Big Girls Rainbow-Leg Fleece J Ghost Htr M 1012</t>
  </si>
  <si>
    <t>Epic Threads Little Girls Long Sleeve Drop Holiday Ivory 6</t>
  </si>
  <si>
    <t>Epic Threads Little Girls Long Sleeve All O Multi 5</t>
  </si>
  <si>
    <t>100120791LB</t>
  </si>
  <si>
    <t>Epic Threads Big Girls Long Sleeve All Over Lavender Pool XL 1820</t>
  </si>
  <si>
    <t>First Impressions Baby Girls Space Heart Long-Sl Deep Black 6-9 months</t>
  </si>
  <si>
    <t>ID Ideology Little Girls Fleece Jogger Pan Fresh Orchid 5</t>
  </si>
  <si>
    <t>First Impressions Baby Boys Yum Long-Sleeve T-Sh Washed Indigo 3-6 months</t>
  </si>
  <si>
    <t>Epic Threads Toddler Girls All Over Stripe Multi 4T</t>
  </si>
  <si>
    <t>SF019ELLMA</t>
  </si>
  <si>
    <t>LOL Surprise Little Girls Lol Surpise Pajam Assorted 4</t>
  </si>
  <si>
    <t>First Impressions Baby Girls Skater Girl Long-Sl Angel White 3-6 months</t>
  </si>
  <si>
    <t>Epic Threads Toddler Girls All Over Stripe Multi 2T</t>
  </si>
  <si>
    <t>Nike 3BRAND by Russell Wilson 3Brand by Russell Wilson Big B Carbon Heather M 1012</t>
  </si>
  <si>
    <t>9Q0072G</t>
  </si>
  <si>
    <t>First Impressions Baby Boys Striped Cotton Jogge Passion Blue 3-6 months</t>
  </si>
  <si>
    <t>ID Ideology Little Girl Rainbow Stripes Jo Ghost Heather 2T</t>
  </si>
  <si>
    <t>100095958GR</t>
  </si>
  <si>
    <t>First Impressions Baby Girls Sleepy Moon Long Sl Angel White 3-6 months</t>
  </si>
  <si>
    <t>100136254BG</t>
  </si>
  <si>
    <t>Keds Little Big Girls 2-Pack Swea Heather Oatmeal 6-8</t>
  </si>
  <si>
    <t>76H866G</t>
  </si>
  <si>
    <t>Caterpillar Toddler Boys Pajama Set, 2 Pie Assorted 3T</t>
  </si>
  <si>
    <t>5C008ELLMA</t>
  </si>
  <si>
    <t>First Impressions Baby Boys Mini Monster Long-Sl Sundrop 12 months</t>
  </si>
  <si>
    <t>ID Ideology Little Girls Fleece Jogger Pan Candy Fizz 6</t>
  </si>
  <si>
    <t>First Impressions Baby Girls Sundae Funday Long- Angel White 12 months</t>
  </si>
  <si>
    <t>100137302BG</t>
  </si>
  <si>
    <t>First Impressions Baby Girls Sundae Funday Long- Angel White 18 months</t>
  </si>
  <si>
    <t>2M081210</t>
  </si>
  <si>
    <t>Epic Threads Toddler Girls All Over Stripe Multi 3T</t>
  </si>
  <si>
    <t>100136746LG</t>
  </si>
  <si>
    <t>First Impressions Baby Girls Cupcake Dot Long-Sl Slate Heather 18 months</t>
  </si>
  <si>
    <t>100137304BG</t>
  </si>
  <si>
    <t>X65153-DL</t>
  </si>
  <si>
    <t>ID Ideology Big Girls Neon Sweatshirt Training Yellow L 14</t>
  </si>
  <si>
    <t>100130822BG</t>
  </si>
  <si>
    <t>3L02009-99</t>
  </si>
  <si>
    <t>Epic Threads Toddler Girls All Over Print L Sunset Flamingo 3T</t>
  </si>
  <si>
    <t>ID Ideology Big Girls Rainbow-Leg Fleece J Ghost Htr XL 16</t>
  </si>
  <si>
    <t>M HIDARY &amp; CO INC BOYS</t>
  </si>
  <si>
    <t>ID Ideology Big Girls Neon Jogger Pants Training Yellow S 78</t>
  </si>
  <si>
    <t>3J229610</t>
  </si>
  <si>
    <t>First Impressions Baby Girls Floating Love Jogge Sunset Flamingo 3-6 months</t>
  </si>
  <si>
    <t>BTween BTween Little Girls Long Sleev Mauve 6</t>
  </si>
  <si>
    <t>4N621</t>
  </si>
  <si>
    <t>100138655BB</t>
  </si>
  <si>
    <t>O3ZSG1G</t>
  </si>
  <si>
    <t>Epic Threads Little Girls Long Sleeve All O Multi 6X</t>
  </si>
  <si>
    <t>ID Ideology Little Girls Fleece Jogger Pan Candy Fizz 3T</t>
  </si>
  <si>
    <t>1L760110</t>
  </si>
  <si>
    <t>Epic Threads Big Girls Cozy Fleece Jogger Pastel Tie Dye XLarge</t>
  </si>
  <si>
    <t>100134328GR</t>
  </si>
  <si>
    <t>Epic Threads Little Girls Cable Knit Sweate Sundrop 5</t>
  </si>
  <si>
    <t>First Impressions Baby Boys Papa Walrus Long-Sle Salmon Creek 18 months</t>
  </si>
  <si>
    <t>ID Ideology Little Girl Rainbow Stripes Jo Ghost Heather 4T</t>
  </si>
  <si>
    <t>Epic Threads Epic Threads Big Boys Solid Ba Navy XL 20</t>
  </si>
  <si>
    <t>ID Ideology Little Girls Fleece Jogger Pan Fresh Orchid 3T</t>
  </si>
  <si>
    <t>Carters Baby Boys 2-Pc. Fox Sweater Navy 24 months</t>
  </si>
  <si>
    <t>1J250710</t>
  </si>
  <si>
    <t>ID Ideology Big Girls Rainbow-Leg Fleece J Rose Shadow L 14</t>
  </si>
  <si>
    <t>ID Ideology Little Girl Rainbow Stripes Jo Ghost Heather 3T</t>
  </si>
  <si>
    <t>Epic Threads Toddler Girls Long Sleeve Drop Sunset Flamingo 2T</t>
  </si>
  <si>
    <t>Epic Threads Toddler Girls Long Sleeve Drop Holiday Ivory 4T</t>
  </si>
  <si>
    <t>NDFER02J-600</t>
  </si>
  <si>
    <t>First Impressions Baby Girls Skater Girl Long-Sl Angel White 18 months</t>
  </si>
  <si>
    <t>36H883G</t>
  </si>
  <si>
    <t>26G461G</t>
  </si>
  <si>
    <t>First Impressions Baby Boys Striped Cotton Jogge Passion Blue 6-9 months</t>
  </si>
  <si>
    <t>First Impressions Baby Boys Cotton Colorblocked Willow Hedge 3-6 months</t>
  </si>
  <si>
    <t>First Impressions Baby Boys Cotton Space Cardiga Angel White 6-9 months</t>
  </si>
  <si>
    <t>Nautica Big Boys Full Zip Tie Dye Flee Gray Tie Dye M 1012</t>
  </si>
  <si>
    <t>NUFEB11F-045</t>
  </si>
  <si>
    <t>Univibe Big Boys Greenwood Thermal T-s White Medium</t>
  </si>
  <si>
    <t>100136264BB</t>
  </si>
  <si>
    <t>First Impressions Baby Boys Star Yoga Pants Barely Blue 0-3 months</t>
  </si>
  <si>
    <t>Nike Nike Big Boys Therma-Fit Elite Black, White L 1416</t>
  </si>
  <si>
    <t>Epic Threads Toddler Girls Desserts T-shirt Holiday Ivory 2T</t>
  </si>
  <si>
    <t>100138315LG</t>
  </si>
  <si>
    <t>Epic Threads Little Girls Heart Graphic Vel Sugar Blue 5</t>
  </si>
  <si>
    <t>Epic Threads Toddler Girls Stripe Heart Poc Pink Tulip 3T</t>
  </si>
  <si>
    <t>100138360LG</t>
  </si>
  <si>
    <t>First Impressions Toddler Girls Velour Ruffle Sw Sundrop 2T</t>
  </si>
  <si>
    <t>100137304TG</t>
  </si>
  <si>
    <t>Epic Threads Big Girls Tie Dye Sherpa Jogge Sugar Blue XLarge</t>
  </si>
  <si>
    <t>Epic Threads Big Girls Cozy Fleece Jogger Steel Gray Medium</t>
  </si>
  <si>
    <t>100133112GR</t>
  </si>
  <si>
    <t>Epic Threads Toddler Girls Stripe Heart Poc Pink Tulip 2T</t>
  </si>
  <si>
    <t>Epic Threads Little Girls Heart Graphic Vel Sugar Blue 6X</t>
  </si>
  <si>
    <t>First Impressions Baby Girls 2-Pc. Solid Heart S Angel White 0-3 months</t>
  </si>
  <si>
    <t>100134955BG</t>
  </si>
  <si>
    <t>100136898BG</t>
  </si>
  <si>
    <t>First Impressions Baby Girls 2-Pc. Glitter Velou Lavender Pool 6-9 months</t>
  </si>
  <si>
    <t>ID Ideology Big Girls Keyhole Hoodie First Blush XL 16</t>
  </si>
  <si>
    <t>100137329TG</t>
  </si>
  <si>
    <t>100133096GR</t>
  </si>
  <si>
    <t>Epic Threads Big Girls Tie Dye Sherpa Pullo Sugar Blue Small</t>
  </si>
  <si>
    <t>100133059GR</t>
  </si>
  <si>
    <t>11L12018-99</t>
  </si>
  <si>
    <t>9CB754E</t>
  </si>
  <si>
    <t>Maidenform Little Big Girls Tie-Dye Hip Ltpasblue L 1416</t>
  </si>
  <si>
    <t>100131153TG</t>
  </si>
  <si>
    <t>100136129BB</t>
  </si>
  <si>
    <t>Carters Toddler Girls Heart Peplum Top Stripe 4T</t>
  </si>
  <si>
    <t>2M747010</t>
  </si>
  <si>
    <t>1M067810</t>
  </si>
  <si>
    <t>adidas Big Boys Zip Front Warped Camo Black S 8</t>
  </si>
  <si>
    <t>AP5522</t>
  </si>
  <si>
    <t>100140764LG</t>
  </si>
  <si>
    <t>First Impressions Baby Girls 2-Pc. Solid Heart S Angel White 12 months</t>
  </si>
  <si>
    <t>First Impressions Toddler Girls Cherry Long-Slee Angel White 3T</t>
  </si>
  <si>
    <t>Tommy Hilfiger Toddler Boys Knockout Logo Hoo Navy Blazer 2T</t>
  </si>
  <si>
    <t>TBFEB01J-405</t>
  </si>
  <si>
    <t>Ring of Fire Big Boys Andy Varsity Twofer Q Navy S 8</t>
  </si>
  <si>
    <t>100145956GR</t>
  </si>
  <si>
    <t>First Impressions Toddler Girls Sugar Splash Tie Angel White 2T</t>
  </si>
  <si>
    <t>100137290TG</t>
  </si>
  <si>
    <t>Epic Threads Big Girls Cozy Fleece Jogger Pastel Tie Dye Large</t>
  </si>
  <si>
    <t>100136055TB</t>
  </si>
  <si>
    <t>Epic Threads Toddler Girls Stripe Graphic T Holiday Ivory 3T</t>
  </si>
  <si>
    <t>Epic Threads Big Girls Cozy Faux Fur Checke Tango Red Large</t>
  </si>
  <si>
    <t>MAC AND MOON/KANOPY BABY BRANDS</t>
  </si>
  <si>
    <t>CKFEC07F-270</t>
  </si>
  <si>
    <t>First Impressions Baby Boys or Girls Jacket Mi Navy Nautical 12 months</t>
  </si>
  <si>
    <t>Epic Threads Big Girls Solid Basic Tee, Cre Deep Black M 1214</t>
  </si>
  <si>
    <t>First Impressions Baby Boys Snowflake French Ter Sterling Hthr 12 months</t>
  </si>
  <si>
    <t>Epic Threads Big Girls Tie Dye Sherpa Pullo Sugar Blue XLarge</t>
  </si>
  <si>
    <t>Epic Threads Little Girls Bow Back Make Mag Aqua Wash 6X</t>
  </si>
  <si>
    <t>100138528LG</t>
  </si>
  <si>
    <t>56I005G</t>
  </si>
  <si>
    <t>Epic Threads Big Girls Long Sleeve All Over Sugar Blue S 810</t>
  </si>
  <si>
    <t>N881605E</t>
  </si>
  <si>
    <t>T000126GHK1028</t>
  </si>
  <si>
    <t>100137910BO</t>
  </si>
  <si>
    <t>First Impressions Baby Girls 2-Pc. Glitter Velou Lavender Pool 0-3 months</t>
  </si>
  <si>
    <t>Champion Champion Little Girls Raglan H White 6</t>
  </si>
  <si>
    <t>TBFEB97J-483</t>
  </si>
  <si>
    <t>100121159BG</t>
  </si>
  <si>
    <t>Jordan Jordan Jordan Big Boys Nike Ju Black M 1012</t>
  </si>
  <si>
    <t>95A434G</t>
  </si>
  <si>
    <t>First Impressions Toddler Girls Holly-Print Tuni Cherry Red 3T</t>
  </si>
  <si>
    <t>100137314TG</t>
  </si>
  <si>
    <t>100138530LG</t>
  </si>
  <si>
    <t>First Impressions Toddler Girls Holly-Print Tuni Cherry Red 4T</t>
  </si>
  <si>
    <t>First Impressions Baby Boys Sugar Splash Tie-Dye Sugar Blue 6-9 months</t>
  </si>
  <si>
    <t>CHJ941</t>
  </si>
  <si>
    <t>Epic Threads Little Girls Good Vibes Long S Angel White 6</t>
  </si>
  <si>
    <t>Champion Little Girls Champion Leopard Azalea Pink 6</t>
  </si>
  <si>
    <t>adidas Big Boys Microfleece Hoodie Collegiate Green M 1012</t>
  </si>
  <si>
    <t>AA7292</t>
  </si>
  <si>
    <t>Tommy Hilfiger Toddler Boys Coat Set, 2 Piece Assorted 3T</t>
  </si>
  <si>
    <t>5D015ECLMA</t>
  </si>
  <si>
    <t>Nautica Little Girls Zip-Up Tie Dye Ho Multi Tie Dye M 5</t>
  </si>
  <si>
    <t>NUFEB05R-990</t>
  </si>
  <si>
    <t>Polo Ralph Lauren Baby Girls Logo Jersey Top L Nevis 9 months</t>
  </si>
  <si>
    <t>Epic Threads Big Girls Long Sleeve All Over Sugar Blue L 1416</t>
  </si>
  <si>
    <t>5D018GLLMA</t>
  </si>
  <si>
    <t>First Impressions Baby Velour Sherpa Fleece Blan Navy Nautical ONE SIZE</t>
  </si>
  <si>
    <t>5D020GRDMA</t>
  </si>
  <si>
    <t>RARE EDITIONS FOR GIRLS INC</t>
  </si>
  <si>
    <t>First Impressions Baby Girls Plaid Cotton Tunic Cherry Red 18 months</t>
  </si>
  <si>
    <t>100133042GR</t>
  </si>
  <si>
    <t>ID Ideology Big Girls Pink Fleece Sweatshi Fresh Orchid M 1012</t>
  </si>
  <si>
    <t>First Impressions Baby Boys Sugar Splash Tie-Dye Washed Indigo 12 months</t>
  </si>
  <si>
    <t>Sleep On It Big Girls Pajama Set, 2 Piece Purple 10-12</t>
  </si>
  <si>
    <t>Minnie Mouse Minnie Mouse Toddler Girls 2- Assorted 4T</t>
  </si>
  <si>
    <t>RBO0341APF</t>
  </si>
  <si>
    <t>2TSWM0402</t>
  </si>
  <si>
    <t>First Impressions Baby Boys Polar Bear Ski T-Shi Passion Blue 3-6 months</t>
  </si>
  <si>
    <t>First Impressions Baby Boys Striped Cotton Jogge Passion Blue 12 months</t>
  </si>
  <si>
    <t>Epic Threads Toddler Girls Long Sleeve Drop Holiday Ivory 3T</t>
  </si>
  <si>
    <t>100138504GR</t>
  </si>
  <si>
    <t>100138397LB</t>
  </si>
  <si>
    <t>Champion Big Boys All Over Print Signat Camo Concrete Medium</t>
  </si>
  <si>
    <t>First Impressions Toddler Girls Grandmas House Faintest Pink 3T</t>
  </si>
  <si>
    <t>100131146TG</t>
  </si>
  <si>
    <t>Epic Threads Big Girls Long Sleeve All Over Lavender Pool L 1416</t>
  </si>
  <si>
    <t>Minnie Mouse Minnie Mouse Toddler Girls 2- Assorted 3T</t>
  </si>
  <si>
    <t>TIMBERLAND OUTER BOYS/KHQ INVEST</t>
  </si>
  <si>
    <t>Champion Baby Boys 2-Pc. Colorblocked T Bozetto Blue Blk 12 months</t>
  </si>
  <si>
    <t>adidas Big Girls Event Hoodie, Plus S Halo Mint S PLUS</t>
  </si>
  <si>
    <t>Tommy Hilfiger Toddler Boys Coat Set, 2 Piece Assorted 4T</t>
  </si>
  <si>
    <t>100135975BG</t>
  </si>
  <si>
    <t>Epic Threads Little Girls Stripe Graphic T- Holiday Ivory 5</t>
  </si>
  <si>
    <t>ID Ideology Little Girls Fleece Jogger Pan Candy Fizz 6X</t>
  </si>
  <si>
    <t>Epic Threads Epic Threads Big Boys Camo Poc Deep Black L 1416</t>
  </si>
  <si>
    <t>ID Ideology Big Girls Quarter-Zip Fleece P Deep Black M 1012</t>
  </si>
  <si>
    <t>Epic Threads Little Girls Long Sleeve Drop Sugar Blue 5</t>
  </si>
  <si>
    <t>adidas Big Girls Event Hoodie, Plus S Charcoal Gray Heather M PLUS</t>
  </si>
  <si>
    <t>Epic Threads Big Girls Solid Basic Tee Bund Bright White M 1214</t>
  </si>
  <si>
    <t>Sleep On It Big Girls Pajama Set, 2 Piece Gray 10-12</t>
  </si>
  <si>
    <t>552458GY-MA</t>
  </si>
  <si>
    <t>ID Ideology Big Girls Rainbow-Leg Fleece J Rose Shadow XL 16</t>
  </si>
  <si>
    <t>CHB071</t>
  </si>
  <si>
    <t>2233H6D</t>
  </si>
  <si>
    <t>BCX/BYER CALIFORNIA</t>
  </si>
  <si>
    <t>LACE: NYLON/SPANDEX; SKIRT/LINING: POLYESTER</t>
  </si>
  <si>
    <t>First Impressions Baby Boys Bomber Jacket Cherry Red 12 months</t>
  </si>
  <si>
    <t>100100093BB</t>
  </si>
  <si>
    <t>Carters Baby Boys 2-Pc. Moose Fleece H Assorted-st 9 months</t>
  </si>
  <si>
    <t>1M701010</t>
  </si>
  <si>
    <t>Carters Toddler Girls 1-Piece Butterfl Print 4T</t>
  </si>
  <si>
    <t>2M071410</t>
  </si>
  <si>
    <t>Epic Threads Big Boys Short Sleeve All Over Light Heather Gray XL 20</t>
  </si>
  <si>
    <t>100138431BO</t>
  </si>
  <si>
    <t>First Impressions Baby Boys Bomber Jacket Cherry Red 0-3 months</t>
  </si>
  <si>
    <t>Imperial Star Big Girls Skinny-Fit Destructe Aina Wash 8</t>
  </si>
  <si>
    <t>IS321A4020</t>
  </si>
  <si>
    <t>Carters Mix and match with two cute pa Assorted-st 3T</t>
  </si>
  <si>
    <t>Epic Threads Big Boys Short Sleeve All Over Chartreuse Sun XL 20</t>
  </si>
  <si>
    <t>100138434BO</t>
  </si>
  <si>
    <t>First Impressions Baby Girls Cotton Floral Medle Rich Periwinkle 3-6 months</t>
  </si>
  <si>
    <t>100092656BG</t>
  </si>
  <si>
    <t>Epic Threads Big Girls All Over Print High Peacoat XL 20</t>
  </si>
  <si>
    <t>100095992GR</t>
  </si>
  <si>
    <t>Epic Threads Little Girls Stripe Heart Pock Pink Tulip 6</t>
  </si>
  <si>
    <t>Epic Threads Little Girls Rainbow All-Over Rainbow 5</t>
  </si>
  <si>
    <t>First Impressions VELOUR LEGGING Faintest Pink 2T</t>
  </si>
  <si>
    <t>Nike Big Boys Nike Space Dyed Beani Black ONE SIZE</t>
  </si>
  <si>
    <t>9A2945A</t>
  </si>
  <si>
    <t>First Impressions Toddler Boys Cotton Rib-Trim J Sundrop 2T</t>
  </si>
  <si>
    <t>Lucky Brand Big Boys Angled Pocket Cargo J Dusty Olive L 1416</t>
  </si>
  <si>
    <t>adidas Big Girls Zip Front Color Bloc Sonic Fuchsia L 1416</t>
  </si>
  <si>
    <t>AP4533</t>
  </si>
  <si>
    <t>Minecraft Big Boys Minecraft Pajamas, 2 Assorted 10</t>
  </si>
  <si>
    <t>MF341BLLMA</t>
  </si>
  <si>
    <t>The Mandalorian Big Boys Mandalorian Blanket S Assorted 8</t>
  </si>
  <si>
    <t>UT088BBSZA</t>
  </si>
  <si>
    <t>Epic Threads Big Girls Leopard Print Basic Ghost Heather L 1416</t>
  </si>
  <si>
    <t>Epic Threads Toddler Boys Basic Solid T-shi Peacoat 4T</t>
  </si>
  <si>
    <t>Epic Threads Toddler Seeing Red Girls Glitt Tango Red 4T</t>
  </si>
  <si>
    <t>Champion Toddler Boys All Over Print Op White 2T</t>
  </si>
  <si>
    <t>Carters Baby Boys 2-Pc. Cotton Striped Med Blue 9 months</t>
  </si>
  <si>
    <t>1I503410</t>
  </si>
  <si>
    <t>First Impressions Baby Girls Velour Ruffle Sweat Sundrop 6-9 months</t>
  </si>
  <si>
    <t>Carters Giraffe Henley-Style Bodysuit Green 9 months</t>
  </si>
  <si>
    <t>1M009310</t>
  </si>
  <si>
    <t>ID Ideology Big Girls Fleece Jogger Pants Light Turq L 14</t>
  </si>
  <si>
    <t>Nautica Big Boys Stretch Double Pique Navy L 1416</t>
  </si>
  <si>
    <t>NUFBB03F-410</t>
  </si>
  <si>
    <t>Mickey Mouse Toddler Boys Disney Mickey Sho Red Tie Dye 3T</t>
  </si>
  <si>
    <t>Nautica Boys Uniform Performance Polo White M 1012</t>
  </si>
  <si>
    <t>551708BU-MA</t>
  </si>
  <si>
    <t>Calvin Klein Calvin Klein Big Boys Windowpa White M 1012</t>
  </si>
  <si>
    <t>CKFEB89F-100</t>
  </si>
  <si>
    <t>Nautica Boys Uniform Performance Polo Gold S 8</t>
  </si>
  <si>
    <t>First Impressions Baby Boys 2-Pack Cotton Dino J Navy Nautical Newborn</t>
  </si>
  <si>
    <t>100130177BB</t>
  </si>
  <si>
    <t>Hybrid Little Boys Nasa Spaceship Shu Light Blue 6</t>
  </si>
  <si>
    <t>2JNAS1193</t>
  </si>
  <si>
    <t>Polo Ralph Lauren Big Boys Big Pony Jersey Tee Vintage-Like Port Heather X-Large</t>
  </si>
  <si>
    <t>Carters Toddler Boys Plaid Cotton Shir Green 4T</t>
  </si>
  <si>
    <t>2M319010</t>
  </si>
  <si>
    <t>Carters Toddler Boys 2-Pc. Snug Fit Pl RedBlack 2T</t>
  </si>
  <si>
    <t>2M155010</t>
  </si>
  <si>
    <t>Carters Toddler Boys Full-Zip Hoodie Maroon 4T</t>
  </si>
  <si>
    <t>Carters Toddler Boys Plaid Cotton Shir Green 2T</t>
  </si>
  <si>
    <t>Carters Toddler Boys Full-Zip Hoodie Maroon 5T</t>
  </si>
  <si>
    <t>Carters Toddler Girls Chambray Top and Blue 3T</t>
  </si>
  <si>
    <t>2M007110</t>
  </si>
  <si>
    <t>Carters Toddler Girls 2-Pc. Polka Dot Assorted-st 4T</t>
  </si>
  <si>
    <t>2M011210</t>
  </si>
  <si>
    <t>Carters Toddler Girls 2-Pc. Polka Dot Assorted-st 5T</t>
  </si>
  <si>
    <t>Carters Toddler Girls 2-Pc. Fleece Hoo Pink 2T</t>
  </si>
  <si>
    <t>2M010310</t>
  </si>
  <si>
    <t>Nike Nike Big Boys Dri-FIT Training Chlorine Blue, Lime Ice L 1416</t>
  </si>
  <si>
    <t>DD8414</t>
  </si>
  <si>
    <t>Kids Headquarters Kids Headquarters Little Girls Pink 4</t>
  </si>
  <si>
    <t>11L22012-99</t>
  </si>
  <si>
    <t>Epic Threads Big Boys Short Sleeve All Over Chartreuse Sun M 1214</t>
  </si>
  <si>
    <t>Champion Champion Little Girls Colorblo Land Ice, Ice Fall Collage Blu 4</t>
  </si>
  <si>
    <t>CHL360</t>
  </si>
  <si>
    <t>BGEOVERFLW</t>
  </si>
  <si>
    <t>Epic Threads Little Girls Graphic Tank Crystal Rose 6</t>
  </si>
  <si>
    <t>100124623LG</t>
  </si>
  <si>
    <t>ID Ideology Big Girls Striped Snap Track P Deep Black S 78</t>
  </si>
  <si>
    <t>100126916GR</t>
  </si>
  <si>
    <t>ID Ideology Big Girls Striped Snap Track P Deep Black XL 16</t>
  </si>
  <si>
    <t>Carters Baby Girls Giraffe Racer Back Yellow 6 months</t>
  </si>
  <si>
    <t>1L732810</t>
  </si>
  <si>
    <t>Champion Little Girls Cargo Pants with Black 6X</t>
  </si>
  <si>
    <t>First Impressions Baby Girls Love Stars Long Sle Blossom Mist 6-9 months</t>
  </si>
  <si>
    <t>100136255BG</t>
  </si>
  <si>
    <t>First Impressions Baby Boys Happy Little Human T Washed Indigo 12 months</t>
  </si>
  <si>
    <t>First Impressions Baby Boys Happy Little Human T Washed Indigo 18 months</t>
  </si>
  <si>
    <t>First Impressions Baby Girl Ruffle Butt Legging Ever Red Newborn</t>
  </si>
  <si>
    <t>100101797BG</t>
  </si>
  <si>
    <t>First Impressions Baby Girls Candy Hearts Long S Pure Lavender 6-9 months</t>
  </si>
  <si>
    <t>100136256BG</t>
  </si>
  <si>
    <t>First Impressions Baby Girls Solid Ruffle-Hem Le Lavendar Pool 3-6 months</t>
  </si>
  <si>
    <t>Disney Princess Frozen 2 Toddler Girls Pajama, Assorted 2T</t>
  </si>
  <si>
    <t>F2373TLLMA</t>
  </si>
  <si>
    <t>Touched by Nature Touched by Nature Toddler Girl Multi 5T</t>
  </si>
  <si>
    <t>Under Armour Under Armour Big Girls Heat Ge Black L 1416</t>
  </si>
  <si>
    <t>adidas Big Girls Short Sleeve Graphic White S 8</t>
  </si>
  <si>
    <t>AA4937</t>
  </si>
  <si>
    <t>Nike Nike Dri-FIT Tempo Big Girls T White XL 16</t>
  </si>
  <si>
    <t>DC7061</t>
  </si>
  <si>
    <t>Carters 2-Piece Birthday Bodysuit Tu White 18 months</t>
  </si>
  <si>
    <t>1M275910</t>
  </si>
  <si>
    <t>ID Ideology Toddler Little Girls Tie-Dye Rose Shadow 6X</t>
  </si>
  <si>
    <t>Champion Champion Little Girls Hoodie J White 4</t>
  </si>
  <si>
    <t>CHL048</t>
  </si>
  <si>
    <t>Carters Baby Girls 3-Pc. Bodysuit, Pan Tan Newborn</t>
  </si>
  <si>
    <t>1M729910</t>
  </si>
  <si>
    <t>Epic Threads Big Boys All Over Print Fleece Red Pop Small</t>
  </si>
  <si>
    <t>100133802BO</t>
  </si>
  <si>
    <t>Nike Nike Little Girls My Game Is G White 6</t>
  </si>
  <si>
    <t>Carters Toddler Boys Monster Truck Cot Print 7</t>
  </si>
  <si>
    <t>3M037610</t>
  </si>
  <si>
    <t>Epic Threads Toddler Boys Short Sleeves Gra Deep Black 2T</t>
  </si>
  <si>
    <t>Hanes Boys or Little Boys 10-Pack White M</t>
  </si>
  <si>
    <t>352 10</t>
  </si>
  <si>
    <t>MEDUIM</t>
  </si>
  <si>
    <t>HANESBRANDS INC SOCKS BOYS</t>
  </si>
  <si>
    <t>COTTON/POLYESTER/NATURAL LATEX RUBBER/OTHER FIBERS</t>
  </si>
  <si>
    <t>Stride Rite Stride Rite Toddler Girls Tess Hushed Violet 9.5</t>
  </si>
  <si>
    <t>BG021202</t>
  </si>
  <si>
    <t>First Impressions Baby Boys Blast Off Long-Sleev Cherry Flame 6-9 months</t>
  </si>
  <si>
    <t>100136308BB</t>
  </si>
  <si>
    <t>First Impressions Baby Girls Reindeer Face Bodys Faintest Pink 0-3 months</t>
  </si>
  <si>
    <t>100129694BG</t>
  </si>
  <si>
    <t>ID Ideology Big Girls Jogger Pants Rose Shadow XXL 18</t>
  </si>
  <si>
    <t>Polo Ralph Lauren Big Boys Big Pony Jersey Tee Vintage-Like Port Heather Large</t>
  </si>
  <si>
    <t>First Impressions Baby Girls Taffeta Lurex Dress Foxglove 6-9 months</t>
  </si>
  <si>
    <t>100129482BG</t>
  </si>
  <si>
    <t>Carters Baby Girls 2-Pc. Baby Girls Pe Print 24 months</t>
  </si>
  <si>
    <t>1M132810</t>
  </si>
  <si>
    <t>Nike Nike Big Boys Sportswear T-shi Black M 1012</t>
  </si>
  <si>
    <t>DJ6618</t>
  </si>
  <si>
    <t>Epic Threads Big Boys Short Sleeve All Over Chartreuse Sun L 1618</t>
  </si>
  <si>
    <t>Carters Toddler Boys Dinosaur Cotton P Print 5T</t>
  </si>
  <si>
    <t>2M039510</t>
  </si>
  <si>
    <t>Nike Nike Big Girls Sportswear Favo Blue Void, Pink Foam XL 1820</t>
  </si>
  <si>
    <t>First Impressions Toddler Boys Happy Little Huma Washed Indigo 3T</t>
  </si>
  <si>
    <t>100137813TB</t>
  </si>
  <si>
    <t>First Impressions Baby Girls Flutter Tunic, Crea Light Grey Heather 6-9 months</t>
  </si>
  <si>
    <t>First Impressions Baby Boys Husky Pup Long-Sleev Sundrop 12 months</t>
  </si>
  <si>
    <t>First Impressions Baby Boys Rib-Trim Cotton Jogg Sundrop 24 months</t>
  </si>
  <si>
    <t>Epic Threads Toddler Girls Long Sleeve Grap Holiday Ivory 4T</t>
  </si>
  <si>
    <t>100138295LG</t>
  </si>
  <si>
    <t>Disney Little Girls Kitty T-shirt Pink 6</t>
  </si>
  <si>
    <t>First Impressions Toddler Boys Fair Isle Shirt Washed Indigo 4T</t>
  </si>
  <si>
    <t>First Impressions Toddler Girls Ruffle-Hem Leggi Sundrop 3T</t>
  </si>
  <si>
    <t>100137898TG</t>
  </si>
  <si>
    <t>Berkshire Little Boys Minions Hat Mitt Yellow ONE SIZE</t>
  </si>
  <si>
    <t>MIU106</t>
  </si>
  <si>
    <t>Levis Boys 511 Performance Jeans Ice Cap 18</t>
  </si>
  <si>
    <t>Nike Nike Little Girls Dri-Fit Pape Arctic Punch 6</t>
  </si>
  <si>
    <t>36H808G</t>
  </si>
  <si>
    <t>adidas Baby Girls Sherpa Fleece Cover Core White 6 months</t>
  </si>
  <si>
    <t>AM1036</t>
  </si>
  <si>
    <t>Champion Baby Boys 2-Pc. Logo Hoodie White Navy 12 months</t>
  </si>
  <si>
    <t>CHJ936</t>
  </si>
  <si>
    <t>Carters Carters Baby Girls Striped Bo Blue 6-24 months</t>
  </si>
  <si>
    <t>1K525310</t>
  </si>
  <si>
    <t>First Impressions Baby Girls Lily Leopard-Print Neo Natural 18 months</t>
  </si>
  <si>
    <t>Epic Threads Little Girls Fair Isle Fleece Violet Light 6X</t>
  </si>
  <si>
    <t>Epic Threads Epic Threads Big Girls Short S Fairy Tale M 1214</t>
  </si>
  <si>
    <t>100118068GR</t>
  </si>
  <si>
    <t>Nike Nike Big Girls Dri-Fit One Pri Regal Pink, Black S 8</t>
  </si>
  <si>
    <t>DJ5901</t>
  </si>
  <si>
    <t>DRAFT - Converse Big Girls Leo Dark Gray Heather Medium</t>
  </si>
  <si>
    <t>4CC179E</t>
  </si>
  <si>
    <t>Nautica Boys Uniform Performance Polo Light Blue S 8</t>
  </si>
  <si>
    <t>Epic Threads Big Boys Cargo Shorts Camo L 1618</t>
  </si>
  <si>
    <t>100138406BO</t>
  </si>
  <si>
    <t>Epic Threads Epic Threads Little Girls Soli Pink 6X</t>
  </si>
  <si>
    <t>Speechless Speechless Big Girls Rib Knit Black Pink 10</t>
  </si>
  <si>
    <t>C4057D99CM01</t>
  </si>
  <si>
    <t>Hybrid Big Boys Strong with This One Gold-Tone XLarge</t>
  </si>
  <si>
    <t>2YSWM0446</t>
  </si>
  <si>
    <t>Carters Toddler Boys Race Car Jersey T White 4T</t>
  </si>
  <si>
    <t>2M044310</t>
  </si>
  <si>
    <t>Imperial Star Big Girls Skinny-Fit Destructe Aina Wash 10</t>
  </si>
  <si>
    <t>10 REG</t>
  </si>
  <si>
    <t>Imperial Star Big Girls Skinny-Fit Destructe Aina Wash 12</t>
  </si>
  <si>
    <t>Carters Toddler Girls Striped Llama Fl G Llama 1 Pc 4T</t>
  </si>
  <si>
    <t>2J226210</t>
  </si>
  <si>
    <t>Carters Baby Girls 3-Pc. Polka Dot Tun Pink 6 months</t>
  </si>
  <si>
    <t>1M730810</t>
  </si>
  <si>
    <t>Nike Nike Big Girls Sportswear Favo Blue Void, Pink Foam M 1012</t>
  </si>
  <si>
    <t>ID Ideology Big Girls Striped Snap Track P Deep Black L 14</t>
  </si>
  <si>
    <t>First Impressions Baby Boys Polar Bear Long-Slee Slate Heather 18 months</t>
  </si>
  <si>
    <t>First Impressions Toddler Boys Sunrise Stripes C Passion Blue 4T</t>
  </si>
  <si>
    <t>100136072TB</t>
  </si>
  <si>
    <t>First Impressions Baby Boys Polar Bear Long-Slee Slate Heather 24 months</t>
  </si>
  <si>
    <t>First Impressions Baby Girl Ruffle Butt Legging Cherry Red 0-3 months</t>
  </si>
  <si>
    <t>First Impressions Toddler Boys Long Sleeve Monst Sundrop 2T</t>
  </si>
  <si>
    <t>100136056TB</t>
  </si>
  <si>
    <t>First Impressions Toddler Boys Camo Stripe Jogge Navy Nautical 2T</t>
  </si>
  <si>
    <t>100130692TB</t>
  </si>
  <si>
    <t>Nautica Big Girls Cropped Fleece Hoodi Rose L 1214</t>
  </si>
  <si>
    <t>Nike Nike Little Boys Color Block T Black 6</t>
  </si>
  <si>
    <t>86F705G</t>
  </si>
  <si>
    <t>Tommy Hilfiger Tommy Hilfiger Big Boys Camouf Beetle M 1214</t>
  </si>
  <si>
    <t>TBFEB98F-367</t>
  </si>
  <si>
    <t>Epic Threads Big Boys Short Sleeve Stripe T Silver-Tone Spoon XL 20</t>
  </si>
  <si>
    <t>100138433BO</t>
  </si>
  <si>
    <t>ID Ideology Big Girls Fleece Hooded Zipper Lipstick Red M 1012</t>
  </si>
  <si>
    <t>100130463GR</t>
  </si>
  <si>
    <t>adidas Baby Girls Classic Tricot Trac Blkpink 12 months</t>
  </si>
  <si>
    <t>AG4505N</t>
  </si>
  <si>
    <t>First Impressions Baby Boys or Girls Velour Cove Cherry Red 0-3 months</t>
  </si>
  <si>
    <t>Nike Nike Little Boys Printed Short Smoke Gray 4</t>
  </si>
  <si>
    <t>Champion Champion Big Girls Paisley Sho Ice Fall L 14</t>
  </si>
  <si>
    <t>CHG080</t>
  </si>
  <si>
    <t>ID Ideology Big Girls Faux-Layer Tank Jet Ski S 78</t>
  </si>
  <si>
    <t>Tommy Hilfiger Tommy Hilfiger Big Boys Pull O Dusty Olive M 1214</t>
  </si>
  <si>
    <t>TBFEC06F-365</t>
  </si>
  <si>
    <t>Epic Threads Big Girls Basic Legging Bundle Multi S 810</t>
  </si>
  <si>
    <t>100120502GR</t>
  </si>
  <si>
    <t>Univibe Big Boys Klimmen Jogger Pants Gunmetal XL 1820</t>
  </si>
  <si>
    <t>Carters Toddler Boys 2-Pc. Snug Fit Pl RedBlack 5T</t>
  </si>
  <si>
    <t>Nike Nike Big Boys Dri-FIT Training Chlorine Blue, Lime Ice M 1012</t>
  </si>
  <si>
    <t>4-PIECE CAMPING 100% SNU</t>
  </si>
  <si>
    <t>2M045210</t>
  </si>
  <si>
    <t>First Impressions Baby Boys Quilted Jogger Cherry Red 3-6 months</t>
  </si>
  <si>
    <t>First Impressions Baby Boys Quilted Jogger Cherry Red 6-9 months</t>
  </si>
  <si>
    <t>Epic Threads Big Boys Short Sleeve All Over Chartreuse Sun S 810</t>
  </si>
  <si>
    <t>First Impressions Baby Girls Smocked Tunic Leg Cherry Red 24 months</t>
  </si>
  <si>
    <t>100129475BG</t>
  </si>
  <si>
    <t>Epic Threads Epic Threads Little Girls All Pink Dogwood 6X</t>
  </si>
  <si>
    <t>100132997LG</t>
  </si>
  <si>
    <t>Champion Little Boys Color Block Script Navy, Multi 7</t>
  </si>
  <si>
    <t>First Impressions Toddler Boys Long Sleeve Monst Sundrop 3T</t>
  </si>
  <si>
    <t>First Impressions Toddler Boys Sunrise Stripes C Passion Blue 2T</t>
  </si>
  <si>
    <t>First Impressions Baby Boys Sugar Splash Tie-Dye Sugar Blue 12 months</t>
  </si>
  <si>
    <t>First Impressions Toddler Boys Happy Little Huma Washed Indigo 4T</t>
  </si>
  <si>
    <t>First Impressions Toddler Girls Cupcake-Print Le Slate Heather 2T</t>
  </si>
  <si>
    <t>100137305TG</t>
  </si>
  <si>
    <t>Epic Threads Big Girls Solid Basic Tee, Cre First Lilac S 810</t>
  </si>
  <si>
    <t>Champion Big Boys All Over Print Script Scarlet S 8</t>
  </si>
  <si>
    <t>Jordan Jordan Jordan Big Boys Nike Ju Olive Canvas M 1012</t>
  </si>
  <si>
    <t>957917G</t>
  </si>
  <si>
    <t>Champion Big Boys Signature Fleece Hood Sunshine XL 1820</t>
  </si>
  <si>
    <t>Nautica Big Girls Cropped Fleece Hoodi Rose M 810</t>
  </si>
  <si>
    <t>Champion Big Boys Signature Fleece Hood Bozetto Blue L 1416</t>
  </si>
  <si>
    <t>Champion Big Boys Signature Fleece Hood Bozetto Blue S 810</t>
  </si>
  <si>
    <t>Kids Headquarters Baby Girls 2-Pc. Terry Unicorn Peach 24 months</t>
  </si>
  <si>
    <t>11L02022-99</t>
  </si>
  <si>
    <t>Champion Big Boys Pixel Script Short Sl Dark Blue S 8</t>
  </si>
  <si>
    <t>CHB016</t>
  </si>
  <si>
    <t>ID Ideology Big Girls Faux-Layer Tank Jet Ski M 1012</t>
  </si>
  <si>
    <t>Champion Big Boys Signature Fleece Hood Oxford Heather S 810</t>
  </si>
  <si>
    <t>First Impressions Baby Boys 2-Pc. Long-Sleeve In Lt Medium 3-6 months</t>
  </si>
  <si>
    <t>Epic Threads Big Boys Short Sleeve All Over Light Heather Gray M 1214</t>
  </si>
  <si>
    <t>Carters Toddler Boys 2-Pc. Snug Fit Pl RedBlack 4T</t>
  </si>
  <si>
    <t>Carters Toddler Girls 1-Piece Butterfl Print 2T</t>
  </si>
  <si>
    <t>ID Ideology Big Girls Velour Pullover Hood Shark Fin XXL 18</t>
  </si>
  <si>
    <t>100121223GR</t>
  </si>
  <si>
    <t>Epic Threads Big Boys Short Sleeve All Over Light Heather Gray L 1618</t>
  </si>
  <si>
    <t>Rare Editions Toddler Girls Printed Jumper w Ivory 4T</t>
  </si>
  <si>
    <t>F792081</t>
  </si>
  <si>
    <t>Carters Toddler Boys 2-Pc. Fuzzy Dog T Assorted 5T</t>
  </si>
  <si>
    <t>2M700510</t>
  </si>
  <si>
    <t>Kids Headquarters Kids Headquarters Little Girls Pink 6</t>
  </si>
  <si>
    <t>Kids Headquarters Kids Headquarters Little Girls Pink 6X</t>
  </si>
  <si>
    <t>Carters Mix and match with two cute pa Assorted-st 4T</t>
  </si>
  <si>
    <t>Kids Headquarters Kids Headquarters Little Girls Pink 5</t>
  </si>
  <si>
    <t>Hybrid Big Boys NASA Fleece Hoodie Chinese Red Small</t>
  </si>
  <si>
    <t>2YNAS1165</t>
  </si>
  <si>
    <t>ABG Accessories Toddler Girls 2-Piece Polar Be Ivory 2T-4T</t>
  </si>
  <si>
    <t>GNF74090MY</t>
  </si>
  <si>
    <t>RISING STAR/ABG ACCESSORIES</t>
  </si>
  <si>
    <t>First Impressions Toddler Boys Long Sleeve Yum T Washed Indigo 4T</t>
  </si>
  <si>
    <t>Under Armour Big Boys Camo Boxers Set, Pack Gray, Black XLarge</t>
  </si>
  <si>
    <t>UWFEJ05F-999</t>
  </si>
  <si>
    <t>First Impressions VELOUR LEGGING Sunset Gold 2T</t>
  </si>
  <si>
    <t>First Impressions Baby Boys Fox Family Long Slee Barely Blue 12 months</t>
  </si>
  <si>
    <t>100136258BB</t>
  </si>
  <si>
    <t>First Impressions Baby Boys Sleepy Cloud Long Sl Washed Indigo Newborn</t>
  </si>
  <si>
    <t>First Impressions VELOUR LEGGING Angel White 2T</t>
  </si>
  <si>
    <t>Calvin Klein Big Girls Lace Bikini Bottom U White XLarge</t>
  </si>
  <si>
    <t>Carters Baby Girls 3-Pc. Cotton Bodysu Gray 9 months</t>
  </si>
  <si>
    <t>1M106710</t>
  </si>
  <si>
    <t>Carters Toddler Boys 2-Pc. Moose Hoodi Assorted 3T</t>
  </si>
  <si>
    <t>Ring of Fire Big Boys Andy Varsity Twofer Q Navy L 1416</t>
  </si>
  <si>
    <t>Disney Princess Little Girls Frozen Fantasy Go Assorted 4</t>
  </si>
  <si>
    <t>FZ913GGSZA</t>
  </si>
  <si>
    <t>Champion Big Boys Colorblocked Logo Hoo Bozetto Blue, Black, White XL 1820</t>
  </si>
  <si>
    <t>CHB392</t>
  </si>
  <si>
    <t>Polo Ralph Lauren Big Boys Logo Fleece Hoodie Liberty Blue XL 1820</t>
  </si>
  <si>
    <t>Disney Princess Frozen 2 Big Girls Robe Assorted 8</t>
  </si>
  <si>
    <t>F2407GRDMA</t>
  </si>
  <si>
    <t>Epic Threads Epic Threads Little Boys Solid Peacoat 7</t>
  </si>
  <si>
    <t>Epic Threads Big Girls Cozy Fleece Pullover Holiday Ivory Large</t>
  </si>
  <si>
    <t>100133108GR</t>
  </si>
  <si>
    <t>Nike Nike Big Boys Dri-FIT Training Chlorine Blue, Lime Ice S 810</t>
  </si>
  <si>
    <t>ID Ideology Big Girls Jogger Pants Indigo Sea S 78</t>
  </si>
  <si>
    <t>Carters Cousin Crew Long-Sleeve Bodysu Navy Blue 9 months</t>
  </si>
  <si>
    <t>1M009410</t>
  </si>
  <si>
    <t>Disney 7-Pk. Shopkins Underwear, Litt Shopkins 6</t>
  </si>
  <si>
    <t>GUP3800</t>
  </si>
  <si>
    <t>HANDCRAFT MFG CORP UW GIRLS</t>
  </si>
  <si>
    <t>Epic Threads Toddler Boys Short Sleeves Gra Bright White 3T</t>
  </si>
  <si>
    <t>100138420LB</t>
  </si>
  <si>
    <t>First Impressions Baby Boys Heathered Joggers Black Hthr 3-6 months</t>
  </si>
  <si>
    <t>Carters Toddler Boys 2-Pc. Snug Fit Pl RedBlack 3T</t>
  </si>
  <si>
    <t>Carters Toddler Boys 2-Pc. Plaid Pajam Print 5T</t>
  </si>
  <si>
    <t>2M503810</t>
  </si>
  <si>
    <t>Calvin Klein Calvin Klein Big Girls Joggers Pink Small</t>
  </si>
  <si>
    <t>PINKOVERFL</t>
  </si>
  <si>
    <t>Epic Threads Toddler Girls Long Sleeve Love Holiday Ivory 2T</t>
  </si>
  <si>
    <t>100128932LG</t>
  </si>
  <si>
    <t>Carters Baby Girls 3-Pc. Polka Dot Tun Pink 3 months</t>
  </si>
  <si>
    <t>First Impressions Baby Boys Sleepy Cloud Long Sl Washed Indigo 12 months</t>
  </si>
  <si>
    <t>First Impressions Toddler Boys Sunrise Stripes C Passion Blue 3T</t>
  </si>
  <si>
    <t>First Impressions VELOUR LEGGING Angel White 4T</t>
  </si>
  <si>
    <t>First Impressions Baby Girls Scribble Fair Isle Angel White 18 months</t>
  </si>
  <si>
    <t>100137286BG</t>
  </si>
  <si>
    <t>First Impressions Baby Girls Scribble Fair Isle Angel White 12 months</t>
  </si>
  <si>
    <t>First Impressions Baby Girls Love Stars Long Sle Blossom Mist 3-6 months</t>
  </si>
  <si>
    <t>First Impressions VELOUR LEGGING Sunset Gold 3T</t>
  </si>
  <si>
    <t>First Impressions Toddler Boys Jogger Pants Passion Blue 2T</t>
  </si>
  <si>
    <t>100136077TB</t>
  </si>
  <si>
    <t>First Impressions Baby Boys Star Yoga Pants Barely Blue Newborn</t>
  </si>
  <si>
    <t>First Impressions Baby Girls Wide Rib Cardigan Blossom Mist 12 months</t>
  </si>
  <si>
    <t>Epic Threads Toddler Girls Rainbow All-Over Rainbow 3T</t>
  </si>
  <si>
    <t>First Impressions Baby Boys Cotton Colorblocked Willow Hedge 18 months</t>
  </si>
  <si>
    <t>Champion Champion Toddler Girls Raglan White, Pink 2T</t>
  </si>
  <si>
    <t>Nike Nike Little Boys Swoosh Tricot Midnight Navy 6</t>
  </si>
  <si>
    <t>86G343G</t>
  </si>
  <si>
    <t>Weatherproof Weatherproof Big Boys Lined Jo Green Camo Large</t>
  </si>
  <si>
    <t>Epic Threads Epic Threads Big Boys Camo Bas Gossamer Green L 1416</t>
  </si>
  <si>
    <t>Carters Baby Boys 2-Pc. Button-Front F Assorted 12 months</t>
  </si>
  <si>
    <t>1M034510</t>
  </si>
  <si>
    <t>Epic Threads Toddler Boys Shorts Sleeve Hoo Light Heather Gray 2T</t>
  </si>
  <si>
    <t>LOCATION</t>
  </si>
  <si>
    <t>LOT #</t>
  </si>
  <si>
    <t>CATEGORY</t>
  </si>
  <si>
    <t>SEASON CODE</t>
  </si>
  <si>
    <t># OF PALLETS</t>
  </si>
  <si>
    <t>ORIGINAL RETAIL</t>
  </si>
  <si>
    <t># OF UNITS</t>
  </si>
  <si>
    <t>CHILDRENS APPAREL &amp; ACCESSORIES</t>
  </si>
  <si>
    <t>PRIMARILY FALL AND WINTER</t>
  </si>
  <si>
    <t>JOPPA CRC,JOPPA,MD</t>
  </si>
  <si>
    <t>MCY</t>
  </si>
  <si>
    <t>Store Stock</t>
  </si>
  <si>
    <t>YELLOW</t>
  </si>
  <si>
    <t>18MOS</t>
  </si>
  <si>
    <t>CARTER'S</t>
  </si>
  <si>
    <t>WILLIAM CARTER-BABY</t>
  </si>
  <si>
    <t>CHB019</t>
  </si>
  <si>
    <t>BLACK</t>
  </si>
  <si>
    <t>LRG</t>
  </si>
  <si>
    <t>2-20 ACTIVE</t>
  </si>
  <si>
    <t>CHAMPION/BELUGA INC</t>
  </si>
  <si>
    <t>WHITE</t>
  </si>
  <si>
    <t>24MOS</t>
  </si>
  <si>
    <t>1ST IMPRESSNS</t>
  </si>
  <si>
    <t>FIRST IMPRESSIONS-MMG</t>
  </si>
  <si>
    <t>DARK BLUE</t>
  </si>
  <si>
    <t>BOYS 2-7</t>
  </si>
  <si>
    <t>LEVI'S/HADDAD APPAREL GROUP</t>
  </si>
  <si>
    <t>GREEN</t>
  </si>
  <si>
    <t>5 M</t>
  </si>
  <si>
    <t>KIDS SHOES</t>
  </si>
  <si>
    <t>E S ORIGINALS INC</t>
  </si>
  <si>
    <t>ID Ideology Big Girls Pink Fleece Sweatshi Candy Fizz L 14</t>
  </si>
  <si>
    <t>100133038GR</t>
  </si>
  <si>
    <t>PINK</t>
  </si>
  <si>
    <t>PB ACTIVE</t>
  </si>
  <si>
    <t>IDEOLOGY GIRLS 7-16-EDI/TOPSVILLE</t>
  </si>
  <si>
    <t>100136298BB</t>
  </si>
  <si>
    <t>MED BLUE</t>
  </si>
  <si>
    <t>SML</t>
  </si>
  <si>
    <t>EPCTHRD B2-20</t>
  </si>
  <si>
    <t>EPIC THREADS-EDI/TOPSV BIG BOY 8-20</t>
  </si>
  <si>
    <t>CHY613</t>
  </si>
  <si>
    <t>NAVY</t>
  </si>
  <si>
    <t>3T SLIM</t>
  </si>
  <si>
    <t>CHAMPION 2-7/BELUGA INC</t>
  </si>
  <si>
    <t>DARK GRAY</t>
  </si>
  <si>
    <t>HYBRID PROMOTIONS</t>
  </si>
  <si>
    <t>EPIC THREADS-EDI/TOPSVILLE INC</t>
  </si>
  <si>
    <t>100133039GR</t>
  </si>
  <si>
    <t>LT/PAS PUR</t>
  </si>
  <si>
    <t>LT/PAS GRY</t>
  </si>
  <si>
    <t>XLRG</t>
  </si>
  <si>
    <t>LAYETTE</t>
  </si>
  <si>
    <t>LUVABLE FRIENDS/BABY VISION INC</t>
  </si>
  <si>
    <t>CHARCOAL</t>
  </si>
  <si>
    <t>GRLS2-16 CLAS</t>
  </si>
  <si>
    <t>SWAT FAME INC</t>
  </si>
  <si>
    <t>OSFA REG</t>
  </si>
  <si>
    <t>2-14GIRLS ACC</t>
  </si>
  <si>
    <t>BERKSHIRE FASHIONS INC</t>
  </si>
  <si>
    <t>Epic Threads Big Girls Camo Print Basic Leg Camo S 810</t>
  </si>
  <si>
    <t>100129826GR</t>
  </si>
  <si>
    <t>EPICTHREADS G</t>
  </si>
  <si>
    <t>ASSORTED</t>
  </si>
  <si>
    <t>STRIDE RITE/VIDA SHOES INT'L INC</t>
  </si>
  <si>
    <t>KODY</t>
  </si>
  <si>
    <t>CF21D01H</t>
  </si>
  <si>
    <t>PURPLE</t>
  </si>
  <si>
    <t>WILLIAM CARTER/VIDA SHOES</t>
  </si>
  <si>
    <t>KIDS OUT/WEAR</t>
  </si>
  <si>
    <t>SPORTSWEAR BOYS/COLUMBIA BRANDS USA</t>
  </si>
  <si>
    <t>IMPORTED</t>
  </si>
  <si>
    <t>UB2211050</t>
  </si>
  <si>
    <t>DARK BEIGE</t>
  </si>
  <si>
    <t>MED</t>
  </si>
  <si>
    <t>8-20 CLSFCTNS</t>
  </si>
  <si>
    <t>UNIVIBE/FAMMA GROUP INC</t>
  </si>
  <si>
    <t>100101896BG</t>
  </si>
  <si>
    <t>12MOS</t>
  </si>
  <si>
    <t>WILLIAM CARTER-BABY SLEEPWEAR</t>
  </si>
  <si>
    <t>LT/PASPINK</t>
  </si>
  <si>
    <t>GIRLS 3-24 MO</t>
  </si>
  <si>
    <t>91E095F</t>
  </si>
  <si>
    <t>LEVIBOYS 8-20</t>
  </si>
  <si>
    <t>LT/PAS YEL</t>
  </si>
  <si>
    <t>6-9MOS</t>
  </si>
  <si>
    <t>GRAY</t>
  </si>
  <si>
    <t>NIKE</t>
  </si>
  <si>
    <t>KIDS SLEEP</t>
  </si>
  <si>
    <t>AMERICAN MARKETING ENT GIRLS</t>
  </si>
  <si>
    <t>MED GREEN</t>
  </si>
  <si>
    <t>DIVISION</t>
  </si>
  <si>
    <t>RETURN TYPE</t>
  </si>
  <si>
    <t>BOL #</t>
  </si>
  <si>
    <t>UPC</t>
  </si>
  <si>
    <t>ITEM DESCRIPTION</t>
  </si>
  <si>
    <t>ORIGINAL QTY</t>
  </si>
  <si>
    <t>TOTAL 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</si>
  <si>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</si>
  <si>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</si>
  <si>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</si>
  <si>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</si>
  <si>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</si>
  <si>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</si>
  <si>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</si>
  <si>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</si>
  <si>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4T SLIM</t>
  </si>
  <si>
    <t>WEATHERPROOF/SAMSUNG C&amp;T AMER BOYS</t>
  </si>
  <si>
    <t>MF339BLLMA</t>
  </si>
  <si>
    <t>AMERICAN MARKETING ENT BOYS</t>
  </si>
  <si>
    <t>3MOS</t>
  </si>
  <si>
    <t>Epic Threads Criss-Cross Shelf Camisole, Bi Deep Black S 810</t>
  </si>
  <si>
    <t>POLYESTER/SPANDEX</t>
  </si>
  <si>
    <t>Carters Baby Boy Hooded Fleece Jumpsui Brown 9 months</t>
  </si>
  <si>
    <t>1M065710</t>
  </si>
  <si>
    <t>BROWN</t>
  </si>
  <si>
    <t>9MOS</t>
  </si>
  <si>
    <t>LT/PAS ORG</t>
  </si>
  <si>
    <t>First Impressions Baby Boys Beanie Critters T-Sh Cherry Red 24 months</t>
  </si>
  <si>
    <t>MEDIUM RED</t>
  </si>
  <si>
    <t>3-6MOS</t>
  </si>
  <si>
    <t>EPCTHRD G2-6X</t>
  </si>
  <si>
    <t>CALVIN KLEIN/KHQ INVESTMENT</t>
  </si>
  <si>
    <t>CHY022</t>
  </si>
  <si>
    <t>First Impressions Baby Boy Basic Cardigan Pink Polish Newborn</t>
  </si>
  <si>
    <t>100016693BB</t>
  </si>
  <si>
    <t>NEWBORN</t>
  </si>
  <si>
    <t>10 REG/MED</t>
  </si>
  <si>
    <t>COTTON/POLYESTER/ELASTANE</t>
  </si>
  <si>
    <t>100101911BG</t>
  </si>
  <si>
    <t>MED PINK</t>
  </si>
  <si>
    <t>Champion Big Boys Open Diagonal Script White 1 L 1416</t>
  </si>
  <si>
    <t>CHB069</t>
  </si>
  <si>
    <t>NATURAL</t>
  </si>
  <si>
    <t>2-20 POLO FAS</t>
  </si>
  <si>
    <t>RL CHILDRENSWEAR/POLO RALPH LAUREN</t>
  </si>
  <si>
    <t>ALL COTTON</t>
  </si>
  <si>
    <t>AA4925</t>
  </si>
  <si>
    <t>GIRLS ACTIVE</t>
  </si>
  <si>
    <t>ADIDAS (SZ 2-6X)/LOLLYTOGS LTD</t>
  </si>
  <si>
    <t>NN81605E</t>
  </si>
  <si>
    <t>DRESSWEAR2-20</t>
  </si>
  <si>
    <t>NAUTICA/F &amp; T APPAREL LLC-CONSIGN</t>
  </si>
  <si>
    <t>POLYESTER</t>
  </si>
  <si>
    <t>100136900BB</t>
  </si>
  <si>
    <t>Epic Threads Toddler Girls Heart All-Over-P Pink Dogwood 4T</t>
  </si>
  <si>
    <t>100138362LG</t>
  </si>
  <si>
    <t>4T REG</t>
  </si>
  <si>
    <t>3T REG</t>
  </si>
  <si>
    <t>Epic Threads Toddler Girls Happy Graphic T- Sunset Flamingo 4T</t>
  </si>
  <si>
    <t>100138311LG</t>
  </si>
  <si>
    <t>DARK PINK</t>
  </si>
  <si>
    <t>MED YELLOW</t>
  </si>
  <si>
    <t>7-16 DRESSES</t>
  </si>
  <si>
    <t>RARE EDITIONS</t>
  </si>
  <si>
    <t>First Impressions Toddler Boys Tie-Dye Splash Jo Sugar Blue 3T</t>
  </si>
  <si>
    <t>100136070TB</t>
  </si>
  <si>
    <t>LT/PASBLUE</t>
  </si>
  <si>
    <t>4 M</t>
  </si>
  <si>
    <t>IX774911</t>
  </si>
  <si>
    <t>WIPETTE BOYS/IAPPAREL LLC</t>
  </si>
  <si>
    <t>MED GRAY</t>
  </si>
  <si>
    <t>NAUTICA/F &amp; T APPAREL LLC</t>
  </si>
  <si>
    <t>BRIGHT GRN</t>
  </si>
  <si>
    <t>CONVERSE/HADDAD APPAREL GROUP LTD</t>
  </si>
  <si>
    <t>First Impressions Baby Boys Cotton Space Cardiga Angel White 3-6 months</t>
  </si>
  <si>
    <t>100136266BB</t>
  </si>
  <si>
    <t>First Impressions Toddler Boys Cotton Colorblock Willow Hedge 2T</t>
  </si>
  <si>
    <t>100136052TB</t>
  </si>
  <si>
    <t>2T REG</t>
  </si>
  <si>
    <t>Champion Champion Little Girls Vertical Pink Candy 6X</t>
  </si>
  <si>
    <t>CHL051</t>
  </si>
  <si>
    <t>6X</t>
  </si>
  <si>
    <t>BABY BELUGA/BELUGA INC</t>
  </si>
  <si>
    <t>GRLS 2-6X COL</t>
  </si>
  <si>
    <t>CALVIN KLEIN/KHQ INVESTMENT LLC</t>
  </si>
  <si>
    <t>CARTER TODLER</t>
  </si>
  <si>
    <t>WILLIAM CARTER-TODDLER PLAYWEAR</t>
  </si>
  <si>
    <t>First Impressions Baby Boys Papa Walrus Long-Sle Salmon Creek 6-9 months</t>
  </si>
  <si>
    <t>100136082BB</t>
  </si>
  <si>
    <t>adidas Little Boys Long Sleeve Warped Black 4</t>
  </si>
  <si>
    <t>AA7307</t>
  </si>
  <si>
    <t>ADIDAS 2-7/LOLLYTOGS LTD</t>
  </si>
  <si>
    <t>DARK RED</t>
  </si>
  <si>
    <t>LT BEIGE</t>
  </si>
  <si>
    <t>KIDS FURNISH</t>
  </si>
  <si>
    <t>MAIDENFORM GIRLS/HANESBRANDS</t>
  </si>
  <si>
    <t>InMocean Little Girls Imitation Pearl E Multi</t>
  </si>
  <si>
    <t>NO SIZE</t>
  </si>
  <si>
    <t>IN MOCEAN GROUP LLC</t>
  </si>
  <si>
    <t>XL</t>
  </si>
  <si>
    <t>IDEOLOGY-EDI/7-16</t>
  </si>
  <si>
    <t>First Impressions Baby Girls Fleece Yoga Pants Angel White 6-9 months</t>
  </si>
  <si>
    <t>100093659BG</t>
  </si>
  <si>
    <t>1M064310</t>
  </si>
  <si>
    <t>BLUE</t>
  </si>
  <si>
    <t>CALVIN KLEIN UNDRWR/DELTA GALIL BOY</t>
  </si>
  <si>
    <t>COTTON/SPANDEX</t>
  </si>
  <si>
    <t>SLEEP ON IT/CLOUD NINE CLTHNG GIRLS</t>
  </si>
  <si>
    <t>AK4779</t>
  </si>
  <si>
    <t>ADIDAS (SZ 7-16)/LOLLYTOGS LTD</t>
  </si>
  <si>
    <t>DARK GREEN</t>
  </si>
  <si>
    <t>100127070BB</t>
  </si>
  <si>
    <t>CHY000</t>
  </si>
  <si>
    <t>BRGHT YELL</t>
  </si>
  <si>
    <t>Champion Champion Big Girls Script Flee Pink Candy XLarge</t>
  </si>
  <si>
    <t>7635CG</t>
  </si>
  <si>
    <t>12-14(LRG)</t>
  </si>
  <si>
    <t>Epic Threads Toddler Girls Heart Graphic Ve Sugar Blue 2T</t>
  </si>
  <si>
    <t>100138300LG</t>
  </si>
  <si>
    <t>Epic Threads Little Girls Stripe Graphic T- Holiday Ivory 6X</t>
  </si>
  <si>
    <t>100138297LG</t>
  </si>
  <si>
    <t>CHB302</t>
  </si>
  <si>
    <t>ADIDAS 8-20/LOLLYTOGS LTD</t>
  </si>
  <si>
    <t>ID Ideology Toddler Little Girls 2-Pc. S Pebble Hthr 2T</t>
  </si>
  <si>
    <t>100136613LG</t>
  </si>
  <si>
    <t>First Impressions Baby Boys Striped Coverall Angel White 0-3 months</t>
  </si>
  <si>
    <t>100136913BB</t>
  </si>
  <si>
    <t>1 M</t>
  </si>
  <si>
    <t>STEVE MADDEN KIDS/STEVE MADDEN LTD</t>
  </si>
  <si>
    <t>100129413LB</t>
  </si>
  <si>
    <t>First Impressions Toddler Boys Paleo Puzzle Jogg Bright Pine 3T</t>
  </si>
  <si>
    <t>100130689TB</t>
  </si>
  <si>
    <t>First Impressions Baby Boys Beanie Critters T-Sh Cherry Red 18 months</t>
  </si>
  <si>
    <t>2T</t>
  </si>
  <si>
    <t>S ROTHSCHILD &amp; CO INC GIRLS</t>
  </si>
  <si>
    <t>Epic Threads Toddler Boys Camo Pocket Basic Pine Brush 3T</t>
  </si>
  <si>
    <t>100129410LB</t>
  </si>
  <si>
    <t>First Impressions Baby Boys Lift Off Rocket Long Deep Black 24 months</t>
  </si>
  <si>
    <t>100136303BB</t>
  </si>
  <si>
    <t>Champion Little Boys Signature Hoodie Blue Seaglass 4</t>
  </si>
  <si>
    <t>CHY302</t>
  </si>
  <si>
    <t>100136747LG</t>
  </si>
  <si>
    <t>TH BOYS 2-7</t>
  </si>
  <si>
    <t>TOMMY HILFIGER/KHQ INVESTMENTS LLC</t>
  </si>
  <si>
    <t>WILLIAM CARTER-TODDLER SLEEPWEAR</t>
  </si>
  <si>
    <t>Epic Threads Toddler Girls Heart All-Over-P Pink Dogwood 3T</t>
  </si>
  <si>
    <t>Epic Threads Little Girls Fair Isle Necklin Sundrop 6</t>
  </si>
  <si>
    <t>100138294LG</t>
  </si>
  <si>
    <t>14 HUSKY</t>
  </si>
  <si>
    <t>COTTON/POLYESTER</t>
  </si>
  <si>
    <t>2-16 BR SPRTS</t>
  </si>
  <si>
    <t>GIRLS 7-16 SPRTWR/HADDAD APPAREL</t>
  </si>
  <si>
    <t>100133097LG</t>
  </si>
  <si>
    <t>KIDS SURF</t>
  </si>
  <si>
    <t>HURLEY/HADDAD APPAREL GROUP</t>
  </si>
  <si>
    <t>100108525LB</t>
  </si>
  <si>
    <t>BRIGHTBLUE</t>
  </si>
  <si>
    <t>TURQ/AQUA</t>
  </si>
  <si>
    <t>KOALA BABY/O5 MD LLC</t>
  </si>
  <si>
    <t>RED</t>
  </si>
  <si>
    <t>SLEEP ON IT/CLOUD NINE CLTHNG BOYS</t>
  </si>
  <si>
    <t>NIKE/HADDAD APPAREL GROUP</t>
  </si>
  <si>
    <t>PBIDEOLOGYBOY</t>
  </si>
  <si>
    <t>IDEOLOGY BOYS 8-20/EDI/TOPSVILLE</t>
  </si>
  <si>
    <t>LEVI'S/HADDAD APPAREL-LITTLE</t>
  </si>
  <si>
    <t>Berkshire Big Girls Fortnite Hat Glove Purple ONE SIZE</t>
  </si>
  <si>
    <t>FTN190</t>
  </si>
  <si>
    <t>SILVER</t>
  </si>
  <si>
    <t>BOYS 3-24 MON</t>
  </si>
  <si>
    <t>MADE IN VIETNAM</t>
  </si>
  <si>
    <t>Epic Threads Big Girls All Over Print Cargo Dark Sprout Medium</t>
  </si>
  <si>
    <t>100137852GR</t>
  </si>
  <si>
    <t>2TSWM0399</t>
  </si>
  <si>
    <t>Hybrid Toddler Boys Be Brave and Stro Charcoal Snow 4T</t>
  </si>
  <si>
    <t>6MOS</t>
  </si>
  <si>
    <t>BEIGEKHAKI</t>
  </si>
  <si>
    <t>CUTIE PIE BABY INC</t>
  </si>
  <si>
    <t>100106445LG</t>
  </si>
  <si>
    <t>KIDS SWIMWEAR</t>
  </si>
  <si>
    <t>DARKYELLOW</t>
  </si>
  <si>
    <t>JORDAN/HADDAD APPAREL GROUP LTD</t>
  </si>
  <si>
    <t>Tommy Hilfiger Little Boys Pajama Pants Assorted S 67</t>
  </si>
  <si>
    <t>5D008BPTMA</t>
  </si>
  <si>
    <t>TOMMY HILFIGER/AMERICAN MARKET BOYS</t>
  </si>
  <si>
    <t>100138529LG</t>
  </si>
  <si>
    <t>100101896TG</t>
  </si>
  <si>
    <t>MED PURPLE</t>
  </si>
  <si>
    <t>36069-MA</t>
  </si>
  <si>
    <t>ADIDAS AMERICA INC</t>
  </si>
  <si>
    <t>NUFEB09S-671</t>
  </si>
  <si>
    <t>BRGHT PINK</t>
  </si>
  <si>
    <t>X45153-DL</t>
  </si>
  <si>
    <t>GERSON &amp; GERSON</t>
  </si>
  <si>
    <t>NIKE 2-7/HADDAD GROUP</t>
  </si>
  <si>
    <t>ORANGE</t>
  </si>
  <si>
    <t>100133538GR</t>
  </si>
  <si>
    <t>DA0150</t>
  </si>
  <si>
    <t>NO COLOR</t>
  </si>
  <si>
    <t>MADE IN CHINA</t>
  </si>
  <si>
    <t>100% POLYESTER</t>
  </si>
  <si>
    <t>13 M</t>
  </si>
  <si>
    <t>KOMAR KIDS LLC GIRLS</t>
  </si>
  <si>
    <t>BEIGE</t>
  </si>
  <si>
    <t>CALVIN KLN BRAS/DELTA GALIL UW GRLS</t>
  </si>
  <si>
    <t>First Impressions Baby Girls Sweet Unicorn Long- Blue Billow 24 months</t>
  </si>
  <si>
    <t>100137284BG</t>
  </si>
  <si>
    <t>TRIMFIT INC GIRLS</t>
  </si>
  <si>
    <t>NYLON/SPANDEX/POLYESTER</t>
  </si>
  <si>
    <t>First Impressions Toddler Girls Velour Snowflake Cherry Red 2T</t>
  </si>
  <si>
    <t>100131149TG</t>
  </si>
  <si>
    <t>First Impressions Baby Girls Skater Girl Long-Sl Angel White 24 months</t>
  </si>
  <si>
    <t>100137285BG</t>
  </si>
  <si>
    <t>1J084410</t>
  </si>
  <si>
    <t>100137288BG</t>
  </si>
  <si>
    <t>100131149BG</t>
  </si>
  <si>
    <t>100134959BB</t>
  </si>
  <si>
    <t>550888-MA</t>
  </si>
  <si>
    <t>AA4920</t>
  </si>
  <si>
    <t>915502F</t>
  </si>
  <si>
    <t>COTTON/ELASTANE</t>
  </si>
  <si>
    <t>LONDON FOG/AMEREX GROUP INC GIRLS</t>
  </si>
  <si>
    <t>CALVIN KLEIN/KHQ INVESTMENT GIRLS</t>
  </si>
  <si>
    <t>100133077LG</t>
  </si>
  <si>
    <t>Epic Threads Epic Threads Little Girls Wate Tie-dye 6</t>
  </si>
  <si>
    <t>First Impressions Baby Boys Hooded Fair Isle Jac Ever Red 3-6 months</t>
  </si>
  <si>
    <t>100129705BB</t>
  </si>
  <si>
    <t>First Impressions Toddler Girls Cozy Bunny Long- Angel White 2T</t>
  </si>
  <si>
    <t>100131143TG</t>
  </si>
  <si>
    <t>Polo Ralph Lauren Big Boys Big Pony T-shirt Light Navy M 1012</t>
  </si>
  <si>
    <t>Epic Threads Toddler Girls Seeing Red Long Pink Dogwood 3T</t>
  </si>
  <si>
    <t>100132985LG</t>
  </si>
  <si>
    <t>MED BROWN</t>
  </si>
  <si>
    <t>BRIGHT RED</t>
  </si>
  <si>
    <t>LT/PAS GRN</t>
  </si>
  <si>
    <t>100138314LG</t>
  </si>
  <si>
    <t>Hybrid Toddler Boys The Perfect Child Red Heather 4T</t>
  </si>
  <si>
    <t>2JSWM0506</t>
  </si>
  <si>
    <t>Berkshire Little Boys Mickey Mouse Hat Red ONE SIZE</t>
  </si>
  <si>
    <t>MKM1487</t>
  </si>
  <si>
    <t>Trimfit Little Big Girls 2-Pk. Opaqu Ivoryrose 6-8</t>
  </si>
  <si>
    <t>Tommy Hilfiger Little Big Boys 2-Pk. Solid Grey Heather M 810</t>
  </si>
  <si>
    <t>TBFCJ06K-004</t>
  </si>
  <si>
    <t>TOMMY HILFIGER UW BOYS/KHQ INVEST</t>
  </si>
  <si>
    <t>First Impressions Baby Boys Girls Reindeer Hat Cherry Red 0-6 months</t>
  </si>
  <si>
    <t>0-6 MOS</t>
  </si>
  <si>
    <t>10-12(M/L)</t>
  </si>
  <si>
    <t>BONNIE JEAN/GERSON &amp; GERSON</t>
  </si>
  <si>
    <t>First Impressions Toddler Boys Polar Pals Long-S Sterling Hthr 3T</t>
  </si>
  <si>
    <t>100130711TB</t>
  </si>
  <si>
    <t>76023-MA</t>
  </si>
  <si>
    <t>MAX AND OLIVIA/CLOUD NINE CLOTHING</t>
  </si>
  <si>
    <t>First Impressions Baby Boys Monster Party Long-S Slate Heather 12 months</t>
  </si>
  <si>
    <t>100136047BB</t>
  </si>
  <si>
    <t>First Impressions Baby Boys Sleepy Cloud Long Sl Washed Indigo 6-9 months</t>
  </si>
  <si>
    <t>100136259BB</t>
  </si>
  <si>
    <t>Epic Threads Big Girls Short Sleeve Basic T Multi M 1012</t>
  </si>
  <si>
    <t>100138262GR</t>
  </si>
  <si>
    <t>AK4769</t>
  </si>
  <si>
    <t>Epic Threads Epic Threads Toddler Girls Wat Tie-dye 2T</t>
  </si>
  <si>
    <t>OSFA</t>
  </si>
  <si>
    <t>SS PERFORMANCE POLO</t>
  </si>
  <si>
    <t>HUABB02KH-410</t>
  </si>
  <si>
    <t>100% COTTON</t>
  </si>
  <si>
    <t>First Impressions Toddler Boys Fair Isle Shirt Washed Indigo 3T</t>
  </si>
  <si>
    <t>100136287TB</t>
  </si>
  <si>
    <t>Epic Threads Little Girls Stripe Graphic T- Holiday Ivory 6</t>
  </si>
  <si>
    <t>First Impressions Baby Girls Sweet Unicorn Long- Blue Billow 6-9 months</t>
  </si>
  <si>
    <t>1M039210</t>
  </si>
  <si>
    <t>2354CG</t>
  </si>
  <si>
    <t>Epic Threads Big Girls Solid Sherpa Jogger Sunset Flamingo Small</t>
  </si>
  <si>
    <t>100133060GR</t>
  </si>
  <si>
    <t>First Impressions Baby Velour Sherpa Fleece Blan Cherry Red ONE SIZE</t>
  </si>
  <si>
    <t>KIDS HEADQUARTERS/GENERIC</t>
  </si>
  <si>
    <t>76033-MA</t>
  </si>
  <si>
    <t>First Impressions Toddler Girls Velour Snowflake Cherry Red 4T</t>
  </si>
  <si>
    <t>First Impressions Baby Boys Colorblocked Snowsui Red Pop 24 months</t>
  </si>
  <si>
    <t>100129391BB</t>
  </si>
  <si>
    <t>Epic Threads Epic Threads Toddler Girls Wat Pink 3T</t>
  </si>
  <si>
    <t>100133080LG</t>
  </si>
  <si>
    <t>First Impressions Baby Boys Mini Monster Long-Sl Sundrop 24 months</t>
  </si>
  <si>
    <t>100136056BB</t>
  </si>
  <si>
    <t>MED BEIGE</t>
  </si>
  <si>
    <t>Carters 4-Piece Lion 100 Snug Fit Cot Blue 18 months</t>
  </si>
  <si>
    <t>1M042610</t>
  </si>
  <si>
    <t>3L70121-99</t>
  </si>
  <si>
    <t>Epic Threads Toddler Girls Candy Graphic T- Lavender Pool 4T</t>
  </si>
  <si>
    <t>100138310LG</t>
  </si>
  <si>
    <t>DJ6932</t>
  </si>
  <si>
    <t>Trimfit Little Big Girls 2-Pk. Opaqu Ivoryrose 8-10</t>
  </si>
  <si>
    <t>8-10 MED</t>
  </si>
  <si>
    <t>Trimfit Little Big Girls 2-Pk. Opaqu Ivoryrose 10-14</t>
  </si>
  <si>
    <t>First Impressions Baby Girls Sweet Unicorn Long- Blue Billow 12 months</t>
  </si>
  <si>
    <t>TOMMY HILFIGER/KHQ INVESTMENT</t>
  </si>
  <si>
    <t>100132594LG</t>
  </si>
  <si>
    <t>BOYS STREETWR</t>
  </si>
  <si>
    <t>Epic Threads Big Girls Short Sleeve Basic T Multi Large</t>
  </si>
  <si>
    <t>12 REG</t>
  </si>
  <si>
    <t>VANILLA STAR/REVISE CLOTHING INC</t>
  </si>
  <si>
    <t>ID Ideology Big Girls Tie-Dye Leggings Rose Shadow XL 16</t>
  </si>
  <si>
    <t>100135436GR</t>
  </si>
  <si>
    <t>60% COTTON/40% POLYESTER</t>
  </si>
  <si>
    <t>NORTH FACE/VF OUTDOOR/VF CORP BOYS</t>
  </si>
  <si>
    <t>Max Olivia Big Girls Base Layer, 2 Piece Pink XL 1416</t>
  </si>
  <si>
    <t>751258-MA</t>
  </si>
  <si>
    <t>TOMMYGRLS7-16</t>
  </si>
  <si>
    <t>TOMMY GIRL/KHQ INVESTMENT LLC</t>
  </si>
  <si>
    <t>COTTON</t>
  </si>
  <si>
    <t>NUFDC07F-410</t>
  </si>
  <si>
    <t>100130736BB</t>
  </si>
  <si>
    <t>ADIDAS/LOLLYTOGS LTD</t>
  </si>
  <si>
    <t>RING OF FIRE/ROF LLC</t>
  </si>
  <si>
    <t>CALVIN KLEIN/F &amp; T APPAREL LLC</t>
  </si>
  <si>
    <t>DD6278</t>
  </si>
  <si>
    <t>100137814BB</t>
  </si>
  <si>
    <t>Carters Baby Boys 6-Pack Printed Cotto Blue Multi 3 months</t>
  </si>
  <si>
    <t>1I720910</t>
  </si>
  <si>
    <t>751363-MA</t>
  </si>
  <si>
    <t>Nike Nike Baby Girls Chevron Tricot Black 6 months</t>
  </si>
  <si>
    <t>06H126G</t>
  </si>
  <si>
    <t>Epic Threads Big Girls Solid Basic Tee, Cre Nautical Navy M 1214</t>
  </si>
  <si>
    <t>100106445GR</t>
  </si>
  <si>
    <t>DARKORANGE</t>
  </si>
  <si>
    <t>100133037GR</t>
  </si>
  <si>
    <t>First Impressions Baby Girls Sweet Unicorn Long- Blue Billow 18 months</t>
  </si>
  <si>
    <t>Tommy Hilfiger Big Girls Pajama Set, 2 Piece Assorted S 67</t>
  </si>
  <si>
    <t>5D022GLLMA</t>
  </si>
  <si>
    <t>TOMMY HILFIGER/AMERICAN MARKET GIRL</t>
  </si>
  <si>
    <t>adidas Big Girls Allover Print Fleece Halo Mint XL 1820</t>
  </si>
  <si>
    <t>EX9752</t>
  </si>
  <si>
    <t>XLARGE S/S</t>
  </si>
  <si>
    <t>918188F</t>
  </si>
  <si>
    <t>WEATHERPROOF/SAMSUNG C&amp;T AMER GIRLS</t>
  </si>
  <si>
    <t>Epic Threads Epic Threads Toddler Girls Wat Tie-dye 4T</t>
  </si>
  <si>
    <t>100129689BB</t>
  </si>
  <si>
    <t>8 REG</t>
  </si>
  <si>
    <t>100108590LB</t>
  </si>
  <si>
    <t>COTTON ON USA INC</t>
  </si>
  <si>
    <t>100131146BG</t>
  </si>
  <si>
    <t>Maidenform Big Girls 3-Pack Cropped Cotto Pink Stripebegonia Pinkwhite M 78</t>
  </si>
  <si>
    <t>First Impressions Baby Boys Girls Reindeer Hat Cherry Red 6-12 months</t>
  </si>
  <si>
    <t>6-12 MOS</t>
  </si>
  <si>
    <t>LUCKY BRAND BOYS/KHQ INVESTMENTS</t>
  </si>
  <si>
    <t>ID Ideology Big Girls Solid Biker Shorts Deep Black S 78</t>
  </si>
  <si>
    <t>100121852GR</t>
  </si>
  <si>
    <t>First Impressions Baby Boys Yum Long-Sleeve T-Sh Washed Indigo 12 months</t>
  </si>
  <si>
    <t>Epic Threads Big Girls Short Sleeve Basic T Multi Small</t>
  </si>
  <si>
    <t>AA4922</t>
  </si>
  <si>
    <t>First Impressions Baby Girls Fleece Yoga Pants Angel White 0-3 months</t>
  </si>
  <si>
    <t>First Impressions Baby Girls Snowflake Velour To Cherry Red 24 months</t>
  </si>
  <si>
    <t>adidas Big Girls All over Print Jogge Adi Black XL 16</t>
  </si>
  <si>
    <t>adidas Big Girls Short Sleeve Dolman Blue L 14</t>
  </si>
  <si>
    <t>SHELL, LINING AND FILL: POLYESTER; FAUX FUR: ACRYLIC/POLYESTER</t>
  </si>
  <si>
    <t>Epic Threads Epic Threads Little Girls Wate Tie-dye 5</t>
  </si>
  <si>
    <t>100132994LG</t>
  </si>
  <si>
    <t>100138698BG</t>
  </si>
  <si>
    <t>Epic Threads Toddler Boys Camo Pocket Basic Pine Brush 2T</t>
  </si>
  <si>
    <t>Epic Threads Toddler Girls Rainbow All-Over Rainbow 2T</t>
  </si>
  <si>
    <t>100138321LG</t>
  </si>
  <si>
    <t>4-6(SMALL)</t>
  </si>
  <si>
    <t>First Impressions Toddler Boys Cotton Colorblock Willow Hedge 3T</t>
  </si>
  <si>
    <t>QUIKSILVER/BOARDRIDERS WHOLESALE</t>
  </si>
  <si>
    <t>First Impressions Baby Girls Fleece Yoga Pants Angel White 3-6 months</t>
  </si>
  <si>
    <t>First Impressions Baby Girls Snowflake Velour To Horizon Blue 3-6 months</t>
  </si>
  <si>
    <t>WK931KB15</t>
  </si>
  <si>
    <t>WEATHERPROOF VINTAGE/5 STAR PREMIUM</t>
  </si>
  <si>
    <t>14 REG</t>
  </si>
  <si>
    <t>First Impressions Baby Boys Sugar Splash Tie-Dye Sugar Blue 3-6 months</t>
  </si>
  <si>
    <t>100136057BB</t>
  </si>
  <si>
    <t>First Impressions Baby Boys Honey Bear Long-Slee True Pine 24 months</t>
  </si>
  <si>
    <t>100130716BB</t>
  </si>
  <si>
    <t>100129812GR</t>
  </si>
  <si>
    <t>MMG-INC</t>
  </si>
  <si>
    <t>EVY/EVY OF CALIFORNIA-LITTLE</t>
  </si>
  <si>
    <t>CK BOYS PERFORMANCE/KHQ INVESTMENT</t>
  </si>
  <si>
    <t>TIMBERLAND/KHQ INVESTMENT CONSIGN</t>
  </si>
  <si>
    <t>100136288BB</t>
  </si>
  <si>
    <t>ID Ideology Big Girls Quarter-Zip Fleece P Sweet Alyssum M 1012</t>
  </si>
  <si>
    <t>100130464GR</t>
  </si>
  <si>
    <t>CHG343</t>
  </si>
  <si>
    <t>GENERIC/KHQ INVESTMENT LLC</t>
  </si>
  <si>
    <t>5D000BLLMA</t>
  </si>
  <si>
    <t>ROTHSCHILD/S ROTHSCHILD &amp; CO INC</t>
  </si>
  <si>
    <t>adidas Baby Boys 2-Pc. Tricot Jacket Black W Green 24 months</t>
  </si>
  <si>
    <t>AG6337N</t>
  </si>
  <si>
    <t>GRLS 2-6X DRS</t>
  </si>
  <si>
    <t>100120501GR</t>
  </si>
  <si>
    <t>UNDER ARMOUR</t>
  </si>
  <si>
    <t>Lucky Brand Big Boys Angled Pocket Cargo J Dusty Olive M 1012</t>
  </si>
  <si>
    <t>LBFEC06F-304</t>
  </si>
  <si>
    <t>0-3</t>
  </si>
  <si>
    <t>Nautica Little Boys Full Zip Tie Dye F Gray Tie Dye M 5</t>
  </si>
  <si>
    <t>NUFEB11E-045</t>
  </si>
  <si>
    <t>REDOVERFLW</t>
  </si>
  <si>
    <t>First Impressions Baby Boys Beanie Critters T-Sh Cherry Red 6-9 months</t>
  </si>
  <si>
    <t>AK5809</t>
  </si>
  <si>
    <t>HYBRID 2-7/HYBRID PROMOTIONS-MCYCON</t>
  </si>
  <si>
    <t>SPORTSWEAR GIRL/COLUMBIA BRANDS USA</t>
  </si>
  <si>
    <t>Calvin Klein Calvin Klein Baby Boy Fleece L Gray 12 months</t>
  </si>
  <si>
    <t>First Impressions Baby Boys or Girls Jacket Mi Navy Nautical 6-9 months</t>
  </si>
  <si>
    <t>100133041LG</t>
  </si>
  <si>
    <t>IDEOLOGY GIRLS 2-6X-EDI/TOPSVILLE</t>
  </si>
  <si>
    <t>Sleep On It Big Girls Pajama Set, 2 Piece Purple 7-8</t>
  </si>
  <si>
    <t>553068PU-MA</t>
  </si>
  <si>
    <t>DA0440</t>
  </si>
  <si>
    <t>100129426BO</t>
  </si>
  <si>
    <t>Max Olivia Big Boys Base Layer, 2 Piece S Multi L 1214</t>
  </si>
  <si>
    <t>75959-MA</t>
  </si>
  <si>
    <t>CLOUD NINE CLOTHING LLC</t>
  </si>
  <si>
    <t>GOLD</t>
  </si>
  <si>
    <t>ONE STEP UP/KIDZ CONCEPTS LLC</t>
  </si>
  <si>
    <t>2-16 G/POL FA</t>
  </si>
  <si>
    <t>ID Ideology Little Girl Rainbow Fleece Hoo Ghost Heather 5</t>
  </si>
  <si>
    <t>100133037LG</t>
  </si>
  <si>
    <t>TH BOYS 8-20</t>
  </si>
  <si>
    <t>Keds Little Big Girls 2-Pack Swea Heather Grey 4-6</t>
  </si>
  <si>
    <t>KED011</t>
  </si>
  <si>
    <t>100130703BB</t>
  </si>
  <si>
    <t>NEW BLUEBERRI/KHQ INVESTMENT LLC</t>
  </si>
  <si>
    <t>Disney Princess Little Girls Disney Princess F Assorted 4</t>
  </si>
  <si>
    <t>DP580GGSZA</t>
  </si>
  <si>
    <t>TBFDB20F-103</t>
  </si>
  <si>
    <t>ID Ideology Big Girls Neon Jogger Pants Training Yellow XL 16</t>
  </si>
  <si>
    <t>100135447GR</t>
  </si>
  <si>
    <t>TIMBERLAND/KHQ INVESTMENT LLC</t>
  </si>
  <si>
    <t>6100F</t>
  </si>
  <si>
    <t>ID Ideology Little Girls Fleece Jogger Pan Candy Fizz 5</t>
  </si>
  <si>
    <t>100133042LG</t>
  </si>
  <si>
    <t>1L920210</t>
  </si>
  <si>
    <t>Epic Threads Toddler Boys Camo All Over Pri Artichoke 3T</t>
  </si>
  <si>
    <t>100138388LB</t>
  </si>
  <si>
    <t>Epic Threads Little Girls Cable Knit Sweate Lavender Pool 6X</t>
  </si>
  <si>
    <t>Champion Champion Big Girls Script Jogg Light Gray XLarge</t>
  </si>
  <si>
    <t>7364CG</t>
  </si>
  <si>
    <t>UNDER ARMOUR 2-7/KHQ INVESTMENT LLC</t>
  </si>
  <si>
    <t>Timberland Big Boys Tree Zip Hoodie Wheat L 1416</t>
  </si>
  <si>
    <t>TLFEB23F-740</t>
  </si>
  <si>
    <t>100129586BB</t>
  </si>
  <si>
    <t>First Impressions Baby Boys or Girls Jacket Mi Foxglove 18 months</t>
  </si>
  <si>
    <t>Champion Big Girls Sunburst Boxy T-shir Oxford Heather, Vivid Fuchsia, XLarge</t>
  </si>
  <si>
    <t>CHG057</t>
  </si>
  <si>
    <t>985129E</t>
  </si>
  <si>
    <t>NORTH FACE/VF OUTDOOR/VF CORP GIRLS</t>
  </si>
  <si>
    <t>UB2211035</t>
  </si>
  <si>
    <t>Nike Nike Big Girls Air Sweatshirt Black, Dark Smoke Gray S 8</t>
  </si>
  <si>
    <t>DD7135</t>
  </si>
  <si>
    <t>3M504010</t>
  </si>
  <si>
    <t>MEDIUN RED</t>
  </si>
  <si>
    <t>100136897BG</t>
  </si>
  <si>
    <t>First Impressions Toddler Boys Elf T-Shirt Pewter Hthr 3T</t>
  </si>
  <si>
    <t>100133890TB</t>
  </si>
  <si>
    <t>551998-MA</t>
  </si>
  <si>
    <t>First Impressions Toddler Boys Cotton Rib-Trim J Sundrop 3T</t>
  </si>
  <si>
    <t>100136298TB</t>
  </si>
  <si>
    <t>First Impressions Toddler Boys Polar Pals T-Shir Sterling Hthr 3T</t>
  </si>
  <si>
    <t>100133865TB</t>
  </si>
  <si>
    <t>61L70025-99</t>
  </si>
  <si>
    <t>LZ202GLLMA</t>
  </si>
  <si>
    <t>CHY021</t>
  </si>
  <si>
    <t>ID Ideology Big Girls Faux-Layer Tank Jet Ski L 14</t>
  </si>
  <si>
    <t>100141263GR</t>
  </si>
  <si>
    <t>INFANT COLL</t>
  </si>
  <si>
    <t>100138540GR</t>
  </si>
  <si>
    <t>CHB318</t>
  </si>
  <si>
    <t>InMocean Little Girls Sherpa 3 Piece Se Multi</t>
  </si>
  <si>
    <t>DFA31211-MAC-MLT</t>
  </si>
  <si>
    <t>Maidenform Big Girls 3-Pack Cropped Cotto Pink Stripebegonia Pinkwhite S 68</t>
  </si>
  <si>
    <t>Steve Madden Steve Madden Big Girls Lace Up White Multi 5M</t>
  </si>
  <si>
    <t>JREZUME</t>
  </si>
  <si>
    <t>adidas Big Girls 3-Stripes Glam Trico Black with Silver M 1012</t>
  </si>
  <si>
    <t>AK4784</t>
  </si>
  <si>
    <t>Calvin Klein Big Girls Hipster, Pack of 3 Pink Lady, White, Warm Calvin Large</t>
  </si>
  <si>
    <t>7100F</t>
  </si>
  <si>
    <t>Epic Threads Little Girls Long Sleeve Rainb Ghost Heather 5</t>
  </si>
  <si>
    <t>100138308LG</t>
  </si>
  <si>
    <t>2JDCB2013</t>
  </si>
  <si>
    <t>Champion Champion Little Girls Drop Sha Black 6X</t>
  </si>
  <si>
    <t>CHL325</t>
  </si>
  <si>
    <t>LT/PAS RED</t>
  </si>
  <si>
    <t>100129424BO</t>
  </si>
  <si>
    <t>57299-MA</t>
  </si>
  <si>
    <t>100137974BO</t>
  </si>
  <si>
    <t>100133020LG</t>
  </si>
  <si>
    <t>Epic Threads Little Girls Cable Knit Sweate Aqua Wash 5</t>
  </si>
  <si>
    <t>LAUREN/PEERLESS CLOTHING</t>
  </si>
  <si>
    <t>POLYESTER/RAYON; LINING: POLYESTER</t>
  </si>
  <si>
    <t>Ring of Fire Big Boys Andy Varsity Twofer Q Navy M 1012</t>
  </si>
  <si>
    <t>RBO0495</t>
  </si>
  <si>
    <t>Univibe Univibe Big Boys Liam Striped Black Small</t>
  </si>
  <si>
    <t>UB220400</t>
  </si>
  <si>
    <t>First Impressions SNOWFAKE SWEETIE LEGGING Washed Indigo 12 months</t>
  </si>
  <si>
    <t>Levis Levis Big Boys Relaxed Jogger Peacoat M 1012</t>
  </si>
  <si>
    <t>100138432BO</t>
  </si>
  <si>
    <t>100108525BO</t>
  </si>
  <si>
    <t>adidas Big Girls Pullover Hoodie White L 1416</t>
  </si>
  <si>
    <t>AA4905</t>
  </si>
  <si>
    <t>Univibe Big Boys Sydney Double Knit Jo Light Blue M 1012</t>
  </si>
  <si>
    <t>910191F</t>
  </si>
  <si>
    <t>100101664TG</t>
  </si>
  <si>
    <t>Carters Baby Boys Baseball Snug Fit Pa Blue 12 months</t>
  </si>
  <si>
    <t>100133039LG</t>
  </si>
  <si>
    <t>Epic Threads Toddler Girls Cable Knit Sweat Aqua Wash 3T</t>
  </si>
  <si>
    <t>Sleep On It Big Girls Mermaid Onesie Multi L 1416</t>
  </si>
  <si>
    <t>350958-MA</t>
  </si>
  <si>
    <t>The North Face Toddler Boys Reversible Perrit BlackAsphalt Gray 3T</t>
  </si>
  <si>
    <t>NF0A5GCWKT0</t>
  </si>
  <si>
    <t>4CB746E</t>
  </si>
  <si>
    <t>1J200110</t>
  </si>
  <si>
    <t>100133038LG</t>
  </si>
  <si>
    <t>Sleep On It Big Girls Coat Style Pajama wi Pink 1012</t>
  </si>
  <si>
    <t>552858-MA</t>
  </si>
  <si>
    <t>Epic Threads Little Girls Long Sleeve Drop Sugar Blue 6</t>
  </si>
  <si>
    <t>100138306LG</t>
  </si>
  <si>
    <t>WINE</t>
  </si>
  <si>
    <t>SMALL S/S</t>
  </si>
  <si>
    <t>adidas Big Girls Pullover Hoodie White M 1012</t>
  </si>
  <si>
    <t>ID Ideology Little Girl Rainbow Fleece Hoo Ghost Heather 6X</t>
  </si>
  <si>
    <t>Converse Converse Big Girls Printed Cro Black Medium</t>
  </si>
  <si>
    <t>F &amp; T APPAREL LLC</t>
  </si>
  <si>
    <t>9Q0031G</t>
  </si>
  <si>
    <t>RUSSELL WILSON BIG/HADDAD GROUP</t>
  </si>
  <si>
    <t>100138413BO</t>
  </si>
  <si>
    <t>JORDAN 2-7/HADDAD APPAREL GROUP</t>
  </si>
  <si>
    <t>100138421LB</t>
  </si>
  <si>
    <t>First Impressions Baby Girls Lily Leopard-Print Neo Natural 24 months</t>
  </si>
  <si>
    <t>100121187BG</t>
  </si>
  <si>
    <t>Univibe Univibe Big Boys Liam Striped Black Large</t>
  </si>
  <si>
    <t>Epic Threads Little Girls Seeing Red Long S Pink Dogwood 5</t>
  </si>
  <si>
    <t>100137853GR</t>
  </si>
  <si>
    <t>BEAUTEES/BYER CALIFORNIA</t>
  </si>
  <si>
    <t>100136287BB</t>
  </si>
  <si>
    <t>AA4930P</t>
  </si>
  <si>
    <t>BRIGHT PUR</t>
  </si>
  <si>
    <t>Hybrid Little Boys Batman Another Day Black 5</t>
  </si>
  <si>
    <t>2JDCB1930</t>
  </si>
  <si>
    <t>Hybrid Toddler Boys Animal Crossing F Oatmeal Heather 2T</t>
  </si>
  <si>
    <t>2TNIN5840</t>
  </si>
  <si>
    <t>100130711BB</t>
  </si>
  <si>
    <t>2JDCB1979</t>
  </si>
  <si>
    <t>Hybrid Toddler Boys Animal Crossing F Oatmeal Heather 4T</t>
  </si>
  <si>
    <t>First Impressions Baby Boys Striped Coverall Angel White 6-9 months</t>
  </si>
  <si>
    <t>Hybrid Little Boys Be Brave and Stron Charcoal Snow 5</t>
  </si>
  <si>
    <t>First Impressions Baby Boys Beanie Critters T-Sh Cherry Red 3-6 months</t>
  </si>
  <si>
    <t>66H202G</t>
  </si>
  <si>
    <t>WN866ELLMA</t>
  </si>
  <si>
    <t>CHB022</t>
  </si>
  <si>
    <t>KIDS HEADQUARTERS/KHQ INVESTMENT</t>
  </si>
  <si>
    <t>100138532LG</t>
  </si>
  <si>
    <t>AMERICAN MARKETING ENTERPRISES</t>
  </si>
  <si>
    <t>First Impressions Baby Boys Polar Pal T-Shirt Sterling Hthr 18 months</t>
  </si>
  <si>
    <t>100133865BB</t>
  </si>
  <si>
    <t>Epic Threads Toddler Girls Rainbow Unicorn Holiday Ivory 2T</t>
  </si>
  <si>
    <t>100138309LG</t>
  </si>
  <si>
    <t>CHY007</t>
  </si>
  <si>
    <t>Epic Threads Little Girls Hot Cocoa Graphic Ghost Heather 6</t>
  </si>
  <si>
    <t>100138298LG</t>
  </si>
  <si>
    <t>Epic Threads Little Girls Long Sleeve All O Multi 6</t>
  </si>
  <si>
    <t>100138296LG</t>
  </si>
  <si>
    <t>Epic Threads Little Boys Peace Graphic T-sh Medium Heather Gray 7</t>
  </si>
  <si>
    <t>100138418LB</t>
  </si>
  <si>
    <t>2M700610</t>
  </si>
  <si>
    <t>First Impressions Baby Boys Beanie Critters T-Sh Cherry Red 12 months</t>
  </si>
  <si>
    <t>JACKET</t>
  </si>
  <si>
    <t>S Rothschild CO Big Girls Puffer Coat and Scar Pink L 14</t>
  </si>
  <si>
    <t>70305F-R1</t>
  </si>
  <si>
    <t>Epic Threads Little Girls Fair Isle Necklin Sundrop 5</t>
  </si>
  <si>
    <t>100134957BB</t>
  </si>
  <si>
    <t>First Impressions Toddler Girls Sweetheart Dot L Sunset Flamingo 2T</t>
  </si>
  <si>
    <t>100137319TG</t>
  </si>
  <si>
    <t>Epic Threads Toddler Girls Heart Graphic T- Pink Dogwood 3T</t>
  </si>
  <si>
    <t>100138361LG</t>
  </si>
  <si>
    <t>Epic Threads Toddler Girls Cupcake T-shirt Lavender Pool 4T</t>
  </si>
  <si>
    <t>100133756LB</t>
  </si>
  <si>
    <t>Polo Ralph Lauren Big Boys Fleece Graphic Sweats Cruise Navy XL 1820</t>
  </si>
  <si>
    <t>100127025LG</t>
  </si>
  <si>
    <t>Champion Big Girls Glitter C Script Hoo Black XL 16</t>
  </si>
  <si>
    <t>CHG369</t>
  </si>
  <si>
    <t>Epic Threads Toddler Girls Ski Sloth Graphi Sugar Blue 2T</t>
  </si>
  <si>
    <t>100138299LG</t>
  </si>
  <si>
    <t>ESQUIRE FOOTWEAR BRANDS LLC</t>
  </si>
  <si>
    <t>Epic Threads Toddler Girls Long Sleeve Rain Ghost Heather 4T</t>
  </si>
  <si>
    <t>2M084910</t>
  </si>
  <si>
    <t>First Impressions Baby Boys Corduroy Cargo Jogge Sunset Gold 0-3 months</t>
  </si>
  <si>
    <t>100126824BB</t>
  </si>
  <si>
    <t>M3150</t>
  </si>
  <si>
    <t>PLAYGROUND PALS/DELTA GALIL GIRLS</t>
  </si>
  <si>
    <t>NYLON/SPANDEX</t>
  </si>
  <si>
    <t>2JSWM0544</t>
  </si>
  <si>
    <t>Epic Threads Toddler Girls Hot Cocoa Graphi Ghost Heather 2T</t>
  </si>
  <si>
    <t>Champion Toddler Boys Ko Script Long Sl Crayon Orange 3T</t>
  </si>
  <si>
    <t>CHY084</t>
  </si>
  <si>
    <t>S Rothschild CO Toddler Little Girls Iridesc Pink 4T</t>
  </si>
  <si>
    <t>51013F-R1</t>
  </si>
  <si>
    <t>Maidenform Lace-Back Ruched Seamless Crop White S 66X</t>
  </si>
  <si>
    <t>M4254</t>
  </si>
  <si>
    <t>INC International Concepts Little Girls Lexi Slipper Bright Pink 2M</t>
  </si>
  <si>
    <t>2 M</t>
  </si>
  <si>
    <t>The Mandalorian Little Boys The Mandalorian Pa Assorted 4</t>
  </si>
  <si>
    <t>UT080BLLMA</t>
  </si>
  <si>
    <t>Epic Threads Toddler Boys Peace sign Graphi Medium Heather Gray 2T</t>
  </si>
  <si>
    <t>Hybrid Toddler Boys Batman Another Da Black 4T</t>
  </si>
  <si>
    <t>Calvin Klein Calvin Klein Big Girls Joggers Aqua Plaid Medium</t>
  </si>
  <si>
    <t>CALVIN KLEIN SLEEP/DELTA GALIL GRLS</t>
  </si>
  <si>
    <t>First Impressions Baby Girls Watercolor Splash H Angel White 6-9 months</t>
  </si>
  <si>
    <t>100130855BG</t>
  </si>
  <si>
    <t>100141600TG</t>
  </si>
  <si>
    <t>First Impressions Baby Boys 2-Pc. Long-Sleeve In Lt Medium 0-3 months</t>
  </si>
  <si>
    <t>100135698BB</t>
  </si>
  <si>
    <t>Epic Threads Big Girls Basic Tee Bundle, Se Multi L 1416</t>
  </si>
  <si>
    <t>14 REG/MED</t>
  </si>
  <si>
    <t>CK PERFORMANCE/KHQ INVESTMENT LLC</t>
  </si>
  <si>
    <t>Epic Threads Toddler Girls Rainbow T-shirt Sundrop 2T</t>
  </si>
  <si>
    <t>100138312LG</t>
  </si>
  <si>
    <t>Maidenform Girls Seamless Ruched Crop Br Heather Grey M 78</t>
  </si>
  <si>
    <t>M4217</t>
  </si>
  <si>
    <t>NYLON/POLYESTER/SPANDEX; PADDING: POLYESTER</t>
  </si>
  <si>
    <t>100137815BB</t>
  </si>
  <si>
    <t>Epic Threads Epic Threads Big Boys Camo Poc Deep Black S 810</t>
  </si>
  <si>
    <t>First Impressions Baby Boys Colorblocked Hoodie Pewter Hthr 0-3 months</t>
  </si>
  <si>
    <t>100129564BB</t>
  </si>
  <si>
    <t>Epic Threads Little Girls Ski Sloth T-shirt Sugar Blue 6</t>
  </si>
  <si>
    <t>First Impressions Baby Girls 2-Pc. Glitter Velou Lavender Pool 3-6 months</t>
  </si>
  <si>
    <t>100134942BG</t>
  </si>
  <si>
    <t>FABRIC AND SYNTHETIC UPPER, FABRIC LINING, RUBBER SOLE</t>
  </si>
  <si>
    <t>MINNIE POLKA LS TEE</t>
  </si>
  <si>
    <t>T000251GD12812</t>
  </si>
  <si>
    <t>DA1019</t>
  </si>
  <si>
    <t>100136846BG</t>
  </si>
  <si>
    <t>EVY/EVY OF CALIFORNIA INC-BIG</t>
  </si>
  <si>
    <t>First Impressions Baby Girls Metallic Bomber Jac Silver Metallic 0-3 months</t>
  </si>
  <si>
    <t>100134944BG</t>
  </si>
  <si>
    <t>First Impressions Baby Girls Snowflake Velour To Cherry Red 3-6 months</t>
  </si>
  <si>
    <t>Epic Threads Little Girls Ski Sloth T-shirt Sugar Blue 6X</t>
  </si>
  <si>
    <t>Epic Threads Little Girls Long Sleeve Drop Sugar Blue 6X</t>
  </si>
  <si>
    <t>First Impressions Baby Girls 2-Pc. Glitter Velou Lavender Pool 18 months</t>
  </si>
  <si>
    <t>First Impressions Baby Girls Sunrise Stripes Cov Sunset Flamingo 6-9 months</t>
  </si>
  <si>
    <t>100136399BG</t>
  </si>
  <si>
    <t>CHAMPION ACCESSORIES/UNITED LEGWEAR</t>
  </si>
  <si>
    <t>T000126GD13253</t>
  </si>
  <si>
    <t>First Impressions Baby Boys Honey Bear Long-Slee True Pine 18 months</t>
  </si>
  <si>
    <t>Epic Threads Little Girls Heart Graphic T-s Pink Dogwood 5</t>
  </si>
  <si>
    <t>100138316LG</t>
  </si>
  <si>
    <t>Epic Threads Toddler Girls Long Sleeve Drop Lavender Pool 2T</t>
  </si>
  <si>
    <t>Epic Threads Toddler Girls Long Sleeve Drop Sugar Blue 3T</t>
  </si>
  <si>
    <t>Epic Threads Little Girls Rainbow All-Over Rainbow 6</t>
  </si>
  <si>
    <t>100120503GR</t>
  </si>
  <si>
    <t>Epic Threads Toddler Girls Fair Isle Neckli Sundrop 4T</t>
  </si>
  <si>
    <t>Epic Threads Toddler Girls Stripe Graphic T Holiday Ivory 4T</t>
  </si>
  <si>
    <t>JBU Little Girls Boys Maplewood Tan 2</t>
  </si>
  <si>
    <t>JBF2101</t>
  </si>
  <si>
    <t>MISC BRANDS/VIDA SHOES INTL INC</t>
  </si>
  <si>
    <t>Carters 4-Piece Lion 100 Snug Fit Cot Blue 12 months</t>
  </si>
  <si>
    <t>BIOWORLD MERCHANDISING</t>
  </si>
  <si>
    <t>100133890BB</t>
  </si>
  <si>
    <t>First Impressions Baby Boys Honey Bear Long-Slee True Pine 12 months</t>
  </si>
  <si>
    <t>CHY315</t>
  </si>
  <si>
    <t>Mickey Mouse Toddler Boys Disney Mickey Sho Red Tie Dye 2T</t>
  </si>
  <si>
    <t>2JBDNY4325</t>
  </si>
  <si>
    <t>First Impressions Baby Boys 2-Pc. Long-Sleeve In Lt Medium 6-9 months</t>
  </si>
  <si>
    <t>First Impressions Baby Boys 2-Pc. Long-Sleeve In Lt Medium 12 months</t>
  </si>
  <si>
    <t>Epic Threads Toddler Boys Camo Basic Tee Pine Brush 4T</t>
  </si>
  <si>
    <t>100129408LB</t>
  </si>
  <si>
    <t>First Impressions Baby Boys Honey Bear Long-Slee True Pine 3-6 months</t>
  </si>
  <si>
    <t>First Impressions Baby Girls Velour Ruffle Sweat Sugar Blue 3-6 months</t>
  </si>
  <si>
    <t>100137299BG</t>
  </si>
  <si>
    <t>First Impressions Baby Boys Honey Bear Long-Slee True Pine 6-9 months</t>
  </si>
  <si>
    <t>Epic Threads Big Girls Long Sleeve Happy Sn Sunset Flamingo L 1416</t>
  </si>
  <si>
    <t>100138487GR</t>
  </si>
  <si>
    <t>ID Ideology Little Girl Rainbow Fleece Hoo Ghost Heather 6</t>
  </si>
  <si>
    <t>Epic Threads Toddler Girls Happy Graphic T- Sunset Flamingo 3T</t>
  </si>
  <si>
    <t>2M701010</t>
  </si>
  <si>
    <t>Champion Little Boys Signature Fleece H Black 4</t>
  </si>
  <si>
    <t>KIDS JACKET</t>
  </si>
  <si>
    <t>First Impressions Baby Boys Yum Long-Sleeve T-Sh Washed Indigo 6-9 months</t>
  </si>
  <si>
    <t>100137312BG</t>
  </si>
  <si>
    <t>Epic Threads Toddler Girls Long Sleeve Drop Sugar Blue 2T</t>
  </si>
  <si>
    <t>Maidenform Big Girls 3-Pack Cropped Cotto Ski Llamasairby Bluewhite M 78</t>
  </si>
  <si>
    <t>Epic Threads Little Girls Graphic T-shirt Sunset Flamingo 5</t>
  </si>
  <si>
    <t>Nike Nike Baby Girls Chevron Tricot Black 0-3 months</t>
  </si>
  <si>
    <t>Epic Threads Toddler Boys Short Sleeve Basi Black Camo 4T</t>
  </si>
  <si>
    <t>ID Ideology Little Girl Rainbow Fleece Hoo Ghost Heather 2T</t>
  </si>
  <si>
    <t>BRNOVERFLW</t>
  </si>
  <si>
    <t>First Impressions Baby Boys Bear Camo Jogger Pan Whispy Gray Hth 0-3 months</t>
  </si>
  <si>
    <t>100121892GR</t>
  </si>
  <si>
    <t>First Impressions Baby Boys Husky Pup Long-Sleev Sundrop 6-9 months</t>
  </si>
  <si>
    <t>COTTON/POLYESTER/SPANDEX</t>
  </si>
  <si>
    <t>NUFBB121-646</t>
  </si>
  <si>
    <t>SISTERS STRONGER TOGETHE</t>
  </si>
  <si>
    <t>T000251GD13425</t>
  </si>
  <si>
    <t>CHL052</t>
  </si>
  <si>
    <t>RM4217C</t>
  </si>
  <si>
    <t>LEVI'S/HADDAD APPAREL-BIG</t>
  </si>
  <si>
    <t>Epic Threads Toddler Boys Camo Basic Tee Pine Brush 3T</t>
  </si>
  <si>
    <t>Maidenform Little Big Girls Cropped Ruc Knock Out Pink M 78</t>
  </si>
  <si>
    <t>TOMMY HILFIGER UW GIRLS/KHQ INVEST</t>
  </si>
  <si>
    <t>Maidenform Little Big Girls Cropped Ruc Knock Out Pink L 1416</t>
  </si>
  <si>
    <t>CF21D03H</t>
  </si>
  <si>
    <t>CHL702</t>
  </si>
  <si>
    <t>First Impressions Baby Boys Polar Bear Ski T-Shi Passion Blue 24 months</t>
  </si>
  <si>
    <t>100136053BB</t>
  </si>
  <si>
    <t>First Impressions Baby Boys Sugar Splash Tie-Dye Sugar Blue 18 months</t>
  </si>
  <si>
    <t>100136070BB</t>
  </si>
  <si>
    <t>Champion Little Girls Champion Leopard Azalea Pink 4</t>
  </si>
  <si>
    <t>CHL064</t>
  </si>
  <si>
    <t>First Impressions Toddler Girls Entangled Bows L Deep Black 3T</t>
  </si>
  <si>
    <t>100137318TG</t>
  </si>
  <si>
    <t>ID Ideology Little Girls Fleece Jogger Pan Candy Fizz 2T</t>
  </si>
  <si>
    <t>ID Ideology Little Girls Fleece Sweatshirt Candy Fizz 3T</t>
  </si>
  <si>
    <t>CHL618</t>
  </si>
  <si>
    <t>8547CB</t>
  </si>
  <si>
    <t>1M145910</t>
  </si>
  <si>
    <t>First Impressions Toddler Girl T Fairisle Tunic Ever Red 18 months</t>
  </si>
  <si>
    <t>7-16 COLLECT</t>
  </si>
  <si>
    <t>100138415BO</t>
  </si>
  <si>
    <t>First Impressions Toddler Girls Sweetheart Dot L Sunset Flamingo 4T</t>
  </si>
  <si>
    <t>First Impressions Baby Girls Velour Ruffle Sweat Sugar Blue 6-9 months</t>
  </si>
  <si>
    <t>1019390C</t>
  </si>
  <si>
    <t>TEVA/DECKERS OUTDOOR CORP</t>
  </si>
  <si>
    <t>CHB006</t>
  </si>
  <si>
    <t>Maidenform Maidenform Big Girls Printed S Knckoutpk M 78</t>
  </si>
  <si>
    <t>Epic Threads Toddler Boys Camo Basic Tee Pine Brush 2T</t>
  </si>
  <si>
    <t>Epic Threads Toddler Girls Fair Isle Neckli Sundrop 2T</t>
  </si>
  <si>
    <t>CHY070</t>
  </si>
  <si>
    <t>2YSWM0407</t>
  </si>
  <si>
    <t>ID Ideology Big Girls Hoodie Dress Pebble Hthr M 1012</t>
  </si>
  <si>
    <t>100135450GR</t>
  </si>
  <si>
    <t>T000204GD13051</t>
  </si>
  <si>
    <t>2JBMVL2167</t>
  </si>
  <si>
    <t>Univibe Univibe Big Boys Liam Striped Black Medium</t>
  </si>
  <si>
    <t>2M007310</t>
  </si>
  <si>
    <t>100133026LG</t>
  </si>
  <si>
    <t>First Impressions Baby Boys 2-Pc. Striped Kangar Washed Indigo 6-9 months</t>
  </si>
  <si>
    <t>100138520BB</t>
  </si>
  <si>
    <t>First Impressions Baby Boys Popsicle-Print Cover Slate Heather 0-3 months</t>
  </si>
  <si>
    <t>Calvin Klein Big Girls Hipster, Pack of 3 Pink Lady, White, Warm Calvin Medium</t>
  </si>
  <si>
    <t>TSFEJ43X-405</t>
  </si>
  <si>
    <t>Maidenform Little Big Girls Lace-Back R Heather Grey S 66X</t>
  </si>
  <si>
    <t>M4390</t>
  </si>
  <si>
    <t>1M062410</t>
  </si>
  <si>
    <t>9A2695A</t>
  </si>
  <si>
    <t>First Impressions Baby Boys Polar Bear Ski T-Shi Passion Blue 18 months</t>
  </si>
  <si>
    <t>Champion Little Boys All Over Print Hoo White 6</t>
  </si>
  <si>
    <t>Epic Threads Toddler Girls Fair Isle Neckli Sundrop 3T</t>
  </si>
  <si>
    <t>T441221</t>
  </si>
  <si>
    <t>TOMMY HILFIGER DRESS WEAR/F &amp; T APP</t>
  </si>
  <si>
    <t>Polo Ralph Lauren Little Boys Logo Hooded T-shir Starboard Red 7</t>
  </si>
  <si>
    <t>CHL332</t>
  </si>
  <si>
    <t>GUESS INC</t>
  </si>
  <si>
    <t>100103065BG</t>
  </si>
  <si>
    <t>FIRST IMPRESSIONS-EDI/CRYSTAL HOS</t>
  </si>
  <si>
    <t>First Impressions Toddler Boys Fair Isle Shirt Washed Indigo 2T</t>
  </si>
  <si>
    <t>First Impressions Toddler Girls Entangled Bows L Deep Black 2T</t>
  </si>
  <si>
    <t>Maidenform Girls Seamless Ruched Crop Br Nude M 78</t>
  </si>
  <si>
    <t>M5132</t>
  </si>
  <si>
    <t>Bioworld Big Boys 2 Piece Minecraft Hat Black One Size Fits All</t>
  </si>
  <si>
    <t>XH8TQ2MNCMC</t>
  </si>
  <si>
    <t>Trimfit Little Big Girls 2-Pk. Metal Navyivory 6-8</t>
  </si>
  <si>
    <t>Maidenform Lace-Trim Underwear, Little Pink Hue L 1012</t>
  </si>
  <si>
    <t>M4372</t>
  </si>
  <si>
    <t>36I112G</t>
  </si>
  <si>
    <t>Nike Nike Big Girls Sportswear Favo Blue Void, Pink Foam L 1416</t>
  </si>
  <si>
    <t>100136051BB</t>
  </si>
  <si>
    <t>12 REG/MED</t>
  </si>
  <si>
    <t>100126838BG</t>
  </si>
  <si>
    <t>Maidenform Maidenform Big Girls Printed S Knckoutpk L 1416</t>
  </si>
  <si>
    <t>Epic Threads Big Girls Tie Dye Sherpa Jogge Sugar Blue Large</t>
  </si>
  <si>
    <t>100133063GR</t>
  </si>
  <si>
    <t>CHY019</t>
  </si>
  <si>
    <t>CHY608</t>
  </si>
  <si>
    <t>Epic Threads Toddler Girls Rainbow T-shirt Sundrop 4T</t>
  </si>
  <si>
    <t>100129686BG</t>
  </si>
  <si>
    <t>2M064110</t>
  </si>
  <si>
    <t>Champion Little Girls Iridescent Foil S Oxford Heather 4</t>
  </si>
  <si>
    <t>CHL718</t>
  </si>
  <si>
    <t>First Impressions Baby Boys Cotton Space Cardiga Angel White 0-3 months</t>
  </si>
  <si>
    <t>First Impressions Baby Girls Velour Ruffle Sweat Sugar Blue 24 months</t>
  </si>
  <si>
    <t>DFA31208-MAC-MLT</t>
  </si>
  <si>
    <t>First Impressions Baby Boys Mini Monster Long-Sl Sundrop 6-9 months</t>
  </si>
  <si>
    <t>100137898BG</t>
  </si>
  <si>
    <t>First Impressions Baby Girls Cat Camo Jogger Pan Pebble Hthr Newborn</t>
  </si>
  <si>
    <t>100133725LB</t>
  </si>
  <si>
    <t>100137814TB</t>
  </si>
  <si>
    <t>100137297TG</t>
  </si>
  <si>
    <t>Levis 502 Regular Taper-Fit Jeans, Black 20</t>
  </si>
  <si>
    <t>Champion Little Boys Signature Fleece H Black 5</t>
  </si>
  <si>
    <t>1L739410</t>
  </si>
  <si>
    <t>100138692BG</t>
  </si>
  <si>
    <t>CK23459H18</t>
  </si>
  <si>
    <t>CELEBRITY PINK/2253 APPAREL LLC</t>
  </si>
  <si>
    <t>Champion Big Boys Contrast Binding C Pa Navy, Bozetto Blue S 810</t>
  </si>
  <si>
    <t>T000250GHK1109</t>
  </si>
  <si>
    <t>Maidenform Maidenform Big Girls Printed S Knckoutpk XL 1820</t>
  </si>
  <si>
    <t>Maidenform Girls Seamless Ruched Crop Br Nude S 66X</t>
  </si>
  <si>
    <t>First Impressions Toddler Boys Cool Dude Raglan Angel White 3T</t>
  </si>
  <si>
    <t>100101729TB</t>
  </si>
  <si>
    <t>First Impressions Baby Girls Sunrise Stripes Cov Sunset Flamingo 12 months</t>
  </si>
  <si>
    <t>Carters Toddler Girls Cat Top Heather 4T</t>
  </si>
  <si>
    <t>2M029010</t>
  </si>
  <si>
    <t>Steve Madden Steve Madden Little Girls Lace White Multi 3M</t>
  </si>
  <si>
    <t>3 M</t>
  </si>
  <si>
    <t>100137813BB</t>
  </si>
  <si>
    <t>First Impressions Baby Boys Polar Bear Ski T-Shi Passion Blue 12 months</t>
  </si>
  <si>
    <t>First Impressions Baby Boys Yum Long-Sleeve T-Sh Washed Indigo 18 months</t>
  </si>
  <si>
    <t>Epic Threads Little Girls Hot Cocoa Graphic Ghost Heather 5</t>
  </si>
  <si>
    <t>100137323TG</t>
  </si>
  <si>
    <t>Nautica Nautica Big Boys Fleece Short Navy L 1416</t>
  </si>
  <si>
    <t>11 M</t>
  </si>
  <si>
    <t>100137318BG</t>
  </si>
  <si>
    <t>First Impressions Toddler Girls Scribble Fair Is Angel White 2T</t>
  </si>
  <si>
    <t>Champion Little Girls Champion Leopard Azalea Pink 5</t>
  </si>
  <si>
    <t>Star Wars Toddler Boys Grogu Short Sleev Green Tie Dye 2T</t>
  </si>
  <si>
    <t>AA7286</t>
  </si>
  <si>
    <t>BLUEBERRY BLVD/KHQ INVESTMENT LLC</t>
  </si>
  <si>
    <t>First Impressions Baby Boys Polar Pal T-Shirt Sterling Hthr 3-6 months</t>
  </si>
  <si>
    <t>ACRYLIC</t>
  </si>
  <si>
    <t>Epic Threads Epic Threads Big Girls Knit To Sunset Flamingo XL 16</t>
  </si>
  <si>
    <t>Champion Little Boys All Over Print Cam Camo Concrete 6</t>
  </si>
  <si>
    <t>ID Ideology Big Girls Pink Fleece Sweatshi Candy Fizz XL 16</t>
  </si>
  <si>
    <t>100138324LG</t>
  </si>
  <si>
    <t>First Impressions Baby Boys Cutest Elf T-Shirt Pewter Heather 3-6 months</t>
  </si>
  <si>
    <t>Epic Threads Little Girls Good Vibes Long S Angel White 5</t>
  </si>
  <si>
    <t>100138423LB</t>
  </si>
  <si>
    <t>BALLET MAKERS INC</t>
  </si>
  <si>
    <t>POLYESTER/RAYON/WOOL</t>
  </si>
  <si>
    <t>100138606BG</t>
  </si>
  <si>
    <t>First Impressions Baby Boys 2-Pc. Striped Kangar Washed Indigo 3-6 months</t>
  </si>
  <si>
    <t>Epic Threads Epic Threads Big Girls Knit To Sunset Flamingo M 810</t>
  </si>
  <si>
    <t>100121216GR</t>
  </si>
  <si>
    <t>UNDER ARMOUR/KHQ INVESTMENT UW BOYS</t>
  </si>
  <si>
    <t>2M701410</t>
  </si>
  <si>
    <t>100133879BB</t>
  </si>
  <si>
    <t>CHG702</t>
  </si>
  <si>
    <t>CHL073</t>
  </si>
  <si>
    <t>First Impressions Baby Boys Bundled Up Fox Cotto Washed Blue 6-9 months</t>
  </si>
  <si>
    <t>Nike Nike Little Girls My Game Is G White 6X</t>
  </si>
  <si>
    <t>36I041G</t>
  </si>
  <si>
    <t>GUESS 7-16 GI</t>
  </si>
  <si>
    <t>PAW Patrol Little Boys PAW Patrol Short S Gray Combo 7</t>
  </si>
  <si>
    <t>2JBPAW0881</t>
  </si>
  <si>
    <t>100147805BO</t>
  </si>
  <si>
    <t>Epic Threads Little Girls Glitter Tutu Skir Sundrop 6X</t>
  </si>
  <si>
    <t>Keds Little Big Girls 2-Pack Swea Heather Grey 2-4</t>
  </si>
  <si>
    <t>UB1201125</t>
  </si>
  <si>
    <t>F2393GLLMA</t>
  </si>
  <si>
    <t>Epic Threads Little Girls Graphic T-shirt Sunset Flamingo 6</t>
  </si>
  <si>
    <t>S Rothschild CO Baby Boys Camo-Print Snowsuit Olive Camo 3-6 months</t>
  </si>
  <si>
    <t>B1494F-F1</t>
  </si>
  <si>
    <t>Epic Threads Toddler Girls Rainbow T-shirt Sundrop 3T</t>
  </si>
  <si>
    <t>BTWEEN LLC</t>
  </si>
  <si>
    <t>First Impressions Baby Girls Sweetheart Dot Cove Sundrop 12 months</t>
  </si>
  <si>
    <t>100138593BG</t>
  </si>
  <si>
    <t>RBB0570A</t>
  </si>
  <si>
    <t>Epic Threads Epic Threads Big Boys Solid Ba Tango Red S 810</t>
  </si>
  <si>
    <t>Epic Threads Little Girls Ruffle-Hem All-Ov Cherry Flame 6</t>
  </si>
  <si>
    <t>100138363LG</t>
  </si>
  <si>
    <t>First Impressions Baby Girls Soft Serve T-Shirt, Aqua Wash 6-9 months</t>
  </si>
  <si>
    <t>ID Ideology Big Girls Keyhole Hoodie First Blush L 14</t>
  </si>
  <si>
    <t>100136760GR</t>
  </si>
  <si>
    <t>100138405LB</t>
  </si>
  <si>
    <t>OppoSuits TEEN BOYS Black Knight Black 10</t>
  </si>
  <si>
    <t>OSTB-0008</t>
  </si>
  <si>
    <t>OPPOSUITS USA INC</t>
  </si>
  <si>
    <t>First Impressions Toddler Girls Cupcake Queen Lo Sunset Flamingo 3T</t>
  </si>
  <si>
    <t>100137303TG</t>
  </si>
  <si>
    <t>100121186BG</t>
  </si>
  <si>
    <t>Champion Toddler Girls Champion Leopard Azalea Pink 3T</t>
  </si>
  <si>
    <t>First Impressions Baby Girls Glossy Puffer Coat Raspberry Pink 24 months</t>
  </si>
  <si>
    <t>100129401BG</t>
  </si>
  <si>
    <t>100137299TG</t>
  </si>
  <si>
    <t>UT059BLLMA</t>
  </si>
  <si>
    <t>Champion Toddler Boys Contrast Binding Navy, Scarlet 2T</t>
  </si>
  <si>
    <t>5547CB</t>
  </si>
  <si>
    <t>2M025610</t>
  </si>
  <si>
    <t>First Impressions Baby Boys Dino Spike Long-Slee Sterling Hthr 3-6 months</t>
  </si>
  <si>
    <t>100129566BB</t>
  </si>
  <si>
    <t>Epic Threads Little Boys Camo Basic Tee, Cr Pine Brush 5</t>
  </si>
  <si>
    <t>100134956BB</t>
  </si>
  <si>
    <t>Tommy Hilfiger Big Boys Coat Set, 2 Piece Assorted L 1214</t>
  </si>
  <si>
    <t>5D015BCLMA</t>
  </si>
  <si>
    <t>CHG607</t>
  </si>
  <si>
    <t>5D019GRDMA</t>
  </si>
  <si>
    <t>Max Olivia Big Girls Pom Pom 2 Piece Shor Purple 1416</t>
  </si>
  <si>
    <t>550598-MA</t>
  </si>
  <si>
    <t>GOGO JEANS INC</t>
  </si>
  <si>
    <t>First Impressions Baby Boys Sugar Splash Tie-Dye Washed Indigo 6-9 months</t>
  </si>
  <si>
    <t>100136911BB</t>
  </si>
  <si>
    <t>DARKPURPLE</t>
  </si>
  <si>
    <t>Epic Threads Little Girls Long Sleeve Rainb Ghost Heather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</si>
</sst>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" applyNumberFormat="0" applyAlignment="0" applyProtection="0"/>
    <xf numFmtId="0" fontId="9" fillId="28" borderId="2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" applyNumberFormat="0" applyAlignment="0" applyProtection="0"/>
    <xf numFmtId="0" fontId="16" fillId="0" borderId="6" applyNumberFormat="0" applyFill="0" applyAlignment="0" applyProtection="0"/>
    <xf numFmtId="0" fontId="17" fillId="31" borderId="0" applyNumberFormat="0" applyBorder="0" applyAlignment="0" applyProtection="0"/>
    <xf numFmtId="0" fontId="1" fillId="32" borderId="7" applyNumberFormat="0" applyFont="0" applyAlignment="0" applyProtection="0"/>
    <xf numFmtId="0" fontId="18" fillId="2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left" wrapText="1"/>
    </xf>
    <xf numFmtId="16" fontId="4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E29" sqref="E29"/>
    </sheetView>
  </sheetViews>
  <sheetFormatPr defaultRowHeight="15" x14ac:dyDescent="0.25"/>
  <cols>
    <col min="1" max="1" width="16.7109375" style="14" customWidth="1"/>
    <col min="2" max="2" width="34.42578125" style="14" bestFit="1" customWidth="1"/>
    <col min="3" max="3" width="26" style="14" bestFit="1" customWidth="1"/>
    <col min="4" max="4" width="12.42578125" style="14" bestFit="1" customWidth="1"/>
    <col min="5" max="5" width="15" style="14" bestFit="1" customWidth="1"/>
    <col min="6" max="6" width="9.85546875" style="14" bestFit="1" customWidth="1"/>
    <col min="7" max="16384" width="9.140625" style="14"/>
  </cols>
  <sheetData>
    <row r="1" spans="1:12" x14ac:dyDescent="0.25">
      <c r="A1" s="1" t="s">
        <v>2481</v>
      </c>
      <c r="B1" s="1" t="s">
        <v>2482</v>
      </c>
      <c r="C1" s="1" t="s">
        <v>2483</v>
      </c>
      <c r="D1" s="1" t="s">
        <v>2484</v>
      </c>
      <c r="E1" s="1" t="s">
        <v>2485</v>
      </c>
      <c r="F1" s="1" t="s">
        <v>2486</v>
      </c>
    </row>
    <row r="2" spans="1:12" ht="15" customHeight="1" x14ac:dyDescent="0.25">
      <c r="A2" s="16">
        <v>14278836</v>
      </c>
      <c r="B2" s="16" t="s">
        <v>2487</v>
      </c>
      <c r="C2" s="15" t="s">
        <v>2488</v>
      </c>
      <c r="D2" s="15">
        <v>1</v>
      </c>
      <c r="E2" s="17">
        <v>10468.64</v>
      </c>
      <c r="F2" s="16">
        <v>546</v>
      </c>
    </row>
    <row r="3" spans="1:12" ht="15" customHeight="1" x14ac:dyDescent="0.25">
      <c r="A3" s="16">
        <v>14277629</v>
      </c>
      <c r="B3" s="16" t="s">
        <v>2487</v>
      </c>
      <c r="C3" s="15" t="s">
        <v>2488</v>
      </c>
      <c r="D3" s="15">
        <v>1</v>
      </c>
      <c r="E3" s="17">
        <v>12496.8</v>
      </c>
      <c r="F3" s="16">
        <v>687</v>
      </c>
    </row>
    <row r="4" spans="1:12" ht="15" customHeight="1" x14ac:dyDescent="0.25">
      <c r="A4" s="16">
        <v>14271949</v>
      </c>
      <c r="B4" s="16" t="s">
        <v>2487</v>
      </c>
      <c r="C4" s="15" t="s">
        <v>2488</v>
      </c>
      <c r="D4" s="15">
        <v>1</v>
      </c>
      <c r="E4" s="17">
        <v>12255.94</v>
      </c>
      <c r="F4" s="16">
        <v>649</v>
      </c>
      <c r="L4" s="18"/>
    </row>
    <row r="5" spans="1:12" ht="15" customHeight="1" x14ac:dyDescent="0.25">
      <c r="A5" s="16">
        <v>14264488</v>
      </c>
      <c r="B5" s="16" t="s">
        <v>2487</v>
      </c>
      <c r="C5" s="15" t="s">
        <v>2488</v>
      </c>
      <c r="D5" s="15">
        <v>1</v>
      </c>
      <c r="E5" s="17">
        <v>11949.17</v>
      </c>
      <c r="F5" s="16">
        <v>649</v>
      </c>
    </row>
    <row r="6" spans="1:12" ht="15" customHeight="1" x14ac:dyDescent="0.25">
      <c r="A6" s="16">
        <v>14236763</v>
      </c>
      <c r="B6" s="16" t="s">
        <v>2487</v>
      </c>
      <c r="C6" s="15" t="s">
        <v>2488</v>
      </c>
      <c r="D6" s="15">
        <v>1</v>
      </c>
      <c r="E6" s="17">
        <v>7348.88</v>
      </c>
      <c r="F6" s="16">
        <v>461</v>
      </c>
    </row>
    <row r="7" spans="1:12" ht="15" customHeight="1" x14ac:dyDescent="0.25">
      <c r="A7" s="16">
        <v>14236745</v>
      </c>
      <c r="B7" s="16" t="s">
        <v>2487</v>
      </c>
      <c r="C7" s="15" t="s">
        <v>2488</v>
      </c>
      <c r="D7" s="15">
        <v>1</v>
      </c>
      <c r="E7" s="17">
        <v>5267.06</v>
      </c>
      <c r="F7" s="16">
        <v>264</v>
      </c>
    </row>
    <row r="8" spans="1:12" ht="15" customHeight="1" x14ac:dyDescent="0.25">
      <c r="A8" s="16">
        <v>14221323</v>
      </c>
      <c r="B8" s="16" t="s">
        <v>2487</v>
      </c>
      <c r="C8" s="15" t="s">
        <v>2488</v>
      </c>
      <c r="D8" s="15">
        <v>1</v>
      </c>
      <c r="E8" s="17">
        <v>5691.82</v>
      </c>
      <c r="F8" s="16">
        <v>331</v>
      </c>
    </row>
    <row r="9" spans="1:12" ht="15" customHeight="1" x14ac:dyDescent="0.25">
      <c r="A9" s="16">
        <v>14210606</v>
      </c>
      <c r="B9" s="16" t="s">
        <v>2487</v>
      </c>
      <c r="C9" s="15" t="s">
        <v>2488</v>
      </c>
      <c r="D9" s="15">
        <v>1</v>
      </c>
      <c r="E9" s="17">
        <v>9393.89</v>
      </c>
      <c r="F9" s="16">
        <v>523</v>
      </c>
    </row>
    <row r="10" spans="1:12" ht="15" customHeight="1" x14ac:dyDescent="0.25">
      <c r="A10" s="16">
        <v>14203642</v>
      </c>
      <c r="B10" s="16" t="s">
        <v>2487</v>
      </c>
      <c r="C10" s="15" t="s">
        <v>2488</v>
      </c>
      <c r="D10" s="15">
        <v>1</v>
      </c>
      <c r="E10" s="17">
        <v>15644.01</v>
      </c>
      <c r="F10" s="16">
        <v>661</v>
      </c>
    </row>
    <row r="11" spans="1:12" x14ac:dyDescent="0.25">
      <c r="D11" s="11">
        <f>SUM(D2:D4,D5:D10)</f>
        <v>9</v>
      </c>
      <c r="E11" s="12">
        <f>SUM(E2:E4,E5:E10)</f>
        <v>90516.209999999977</v>
      </c>
      <c r="F11" s="13">
        <f>SUM(F2:F4,F5:F10)</f>
        <v>4771</v>
      </c>
    </row>
  </sheetData>
  <phoneticPr fontId="0" type="noConversion"/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workbookViewId="0">
      <selection activeCell="D33" sqref="D33"/>
    </sheetView>
  </sheetViews>
  <sheetFormatPr defaultRowHeight="15" x14ac:dyDescent="0.25"/>
  <cols>
    <col min="1" max="1" width="19.85546875" bestFit="1" customWidth="1"/>
    <col min="2" max="2" width="34.42578125" bestFit="1" customWidth="1"/>
    <col min="3" max="3" width="26" bestFit="1" customWidth="1"/>
    <col min="4" max="4" width="8.140625" bestFit="1" customWidth="1"/>
    <col min="5" max="5" width="9.85546875" bestFit="1" customWidth="1"/>
    <col min="6" max="7" width="9" bestFit="1" customWidth="1"/>
    <col min="8" max="8" width="13.140625" bestFit="1" customWidth="1"/>
    <col min="9" max="9" width="74.28515625" bestFit="1" customWidth="1"/>
    <col min="10" max="11" width="8.7109375" bestFit="1" customWidth="1"/>
    <col min="12" max="12" width="14.7109375" bestFit="1" customWidth="1"/>
    <col min="13" max="13" width="17.5703125" bestFit="1" customWidth="1"/>
    <col min="14" max="14" width="12.140625" bestFit="1" customWidth="1"/>
    <col min="15" max="15" width="10.140625" bestFit="1" customWidth="1"/>
    <col min="16" max="16" width="15.5703125" bestFit="1" customWidth="1"/>
    <col min="17" max="17" width="39.5703125" bestFit="1" customWidth="1"/>
    <col min="18" max="18" width="9.85546875" bestFit="1" customWidth="1"/>
    <col min="19" max="19" width="19.85546875" bestFit="1" customWidth="1"/>
    <col min="20" max="20" width="42.85546875" bestFit="1" customWidth="1"/>
  </cols>
  <sheetData>
    <row r="1" spans="1:20" ht="24" x14ac:dyDescent="0.25">
      <c r="A1" s="1" t="s">
        <v>2480</v>
      </c>
      <c r="B1" s="1" t="s">
        <v>2482</v>
      </c>
      <c r="C1" s="1" t="s">
        <v>2483</v>
      </c>
      <c r="D1" s="1" t="s">
        <v>2572</v>
      </c>
      <c r="E1" s="1" t="s">
        <v>2573</v>
      </c>
      <c r="F1" s="1" t="s">
        <v>2481</v>
      </c>
      <c r="G1" s="1" t="s">
        <v>2574</v>
      </c>
      <c r="H1" s="1" t="s">
        <v>2575</v>
      </c>
      <c r="I1" s="1" t="s">
        <v>2576</v>
      </c>
      <c r="J1" s="1" t="s">
        <v>2577</v>
      </c>
      <c r="K1" s="1" t="s">
        <v>2485</v>
      </c>
      <c r="L1" s="1" t="s">
        <v>2578</v>
      </c>
      <c r="M1" s="1" t="s">
        <v>2579</v>
      </c>
      <c r="N1" s="1" t="s">
        <v>2580</v>
      </c>
      <c r="O1" s="1" t="s">
        <v>2581</v>
      </c>
      <c r="P1" s="1" t="s">
        <v>2582</v>
      </c>
      <c r="Q1" s="1" t="s">
        <v>2583</v>
      </c>
      <c r="R1" s="1" t="s">
        <v>2584</v>
      </c>
      <c r="S1" s="1" t="s">
        <v>2585</v>
      </c>
      <c r="T1" s="1" t="s">
        <v>2586</v>
      </c>
    </row>
    <row r="2" spans="1:20" ht="15" customHeight="1" x14ac:dyDescent="0.25">
      <c r="A2" s="4" t="s">
        <v>2489</v>
      </c>
      <c r="B2" s="2" t="s">
        <v>2487</v>
      </c>
      <c r="C2" s="2" t="s">
        <v>2488</v>
      </c>
      <c r="D2" s="5" t="s">
        <v>2490</v>
      </c>
      <c r="E2" s="4" t="s">
        <v>2491</v>
      </c>
      <c r="F2" s="6">
        <v>14203642</v>
      </c>
      <c r="G2" s="3">
        <v>14203642</v>
      </c>
      <c r="H2" s="7">
        <v>733004398780</v>
      </c>
      <c r="I2" s="8" t="s">
        <v>394</v>
      </c>
      <c r="J2" s="4">
        <v>4</v>
      </c>
      <c r="K2" s="9">
        <v>21.99</v>
      </c>
      <c r="L2" s="9">
        <v>87.96</v>
      </c>
      <c r="M2" s="4" t="s">
        <v>1910</v>
      </c>
      <c r="N2" s="4" t="s">
        <v>2600</v>
      </c>
      <c r="O2" s="4">
        <v>6</v>
      </c>
      <c r="P2" s="4" t="s">
        <v>2515</v>
      </c>
      <c r="Q2" s="4" t="s">
        <v>2672</v>
      </c>
      <c r="R2" s="4"/>
      <c r="S2" s="4"/>
      <c r="T2" s="4" t="str">
        <f>HYPERLINK("http://slimages.macys.com/is/image/MCY/20143304 ")</f>
        <v xml:space="preserve">http://slimages.macys.com/is/image/MCY/20143304 </v>
      </c>
    </row>
    <row r="3" spans="1:20" ht="15" customHeight="1" x14ac:dyDescent="0.25">
      <c r="A3" s="4" t="s">
        <v>2489</v>
      </c>
      <c r="B3" s="2" t="s">
        <v>2487</v>
      </c>
      <c r="C3" s="2" t="s">
        <v>2488</v>
      </c>
      <c r="D3" s="5" t="s">
        <v>2490</v>
      </c>
      <c r="E3" s="4" t="s">
        <v>2491</v>
      </c>
      <c r="F3" s="6">
        <v>14203642</v>
      </c>
      <c r="G3" s="3">
        <v>14203642</v>
      </c>
      <c r="H3" s="7">
        <v>696114426753</v>
      </c>
      <c r="I3" s="8" t="s">
        <v>84</v>
      </c>
      <c r="J3" s="4">
        <v>12</v>
      </c>
      <c r="K3" s="9">
        <v>19.989999999999998</v>
      </c>
      <c r="L3" s="9">
        <v>239.88</v>
      </c>
      <c r="M3" s="4" t="s">
        <v>395</v>
      </c>
      <c r="N3" s="4"/>
      <c r="O3" s="4">
        <v>8</v>
      </c>
      <c r="P3" s="4" t="s">
        <v>2569</v>
      </c>
      <c r="Q3" s="4" t="s">
        <v>2679</v>
      </c>
      <c r="R3" s="4"/>
      <c r="S3" s="4"/>
      <c r="T3" s="4" t="str">
        <f>HYPERLINK("http://slimages.macys.com/is/image/MCY/20426380 ")</f>
        <v xml:space="preserve">http://slimages.macys.com/is/image/MCY/20426380 </v>
      </c>
    </row>
    <row r="4" spans="1:20" ht="15" customHeight="1" x14ac:dyDescent="0.25">
      <c r="A4" s="4" t="s">
        <v>2489</v>
      </c>
      <c r="B4" s="2" t="s">
        <v>2487</v>
      </c>
      <c r="C4" s="2" t="s">
        <v>2488</v>
      </c>
      <c r="D4" s="5" t="s">
        <v>2490</v>
      </c>
      <c r="E4" s="4" t="s">
        <v>2491</v>
      </c>
      <c r="F4" s="6">
        <v>14203642</v>
      </c>
      <c r="G4" s="3">
        <v>14203642</v>
      </c>
      <c r="H4" s="7">
        <v>733004399381</v>
      </c>
      <c r="I4" s="8" t="s">
        <v>1950</v>
      </c>
      <c r="J4" s="4">
        <v>2</v>
      </c>
      <c r="K4" s="9">
        <v>21.99</v>
      </c>
      <c r="L4" s="9">
        <v>43.98</v>
      </c>
      <c r="M4" s="4" t="s">
        <v>1910</v>
      </c>
      <c r="N4" s="4" t="s">
        <v>2561</v>
      </c>
      <c r="O4" s="4" t="s">
        <v>2653</v>
      </c>
      <c r="P4" s="4" t="s">
        <v>2515</v>
      </c>
      <c r="Q4" s="4" t="s">
        <v>2672</v>
      </c>
      <c r="R4" s="4"/>
      <c r="S4" s="4"/>
      <c r="T4" s="4" t="str">
        <f>HYPERLINK("http://slimages.macys.com/is/image/MCY/20143304 ")</f>
        <v xml:space="preserve">http://slimages.macys.com/is/image/MCY/20143304 </v>
      </c>
    </row>
    <row r="5" spans="1:20" ht="15" customHeight="1" x14ac:dyDescent="0.25">
      <c r="A5" s="4" t="s">
        <v>2489</v>
      </c>
      <c r="B5" s="2" t="s">
        <v>2487</v>
      </c>
      <c r="C5" s="2" t="s">
        <v>2488</v>
      </c>
      <c r="D5" s="5" t="s">
        <v>2490</v>
      </c>
      <c r="E5" s="4" t="s">
        <v>2491</v>
      </c>
      <c r="F5" s="6">
        <v>14203642</v>
      </c>
      <c r="G5" s="3">
        <v>14203642</v>
      </c>
      <c r="H5" s="7">
        <v>733003642761</v>
      </c>
      <c r="I5" s="8" t="s">
        <v>1916</v>
      </c>
      <c r="J5" s="4">
        <v>2</v>
      </c>
      <c r="K5" s="9">
        <v>22.99</v>
      </c>
      <c r="L5" s="9">
        <v>45.98</v>
      </c>
      <c r="M5" s="4" t="s">
        <v>2529</v>
      </c>
      <c r="N5" s="4" t="s">
        <v>2530</v>
      </c>
      <c r="O5" s="4" t="s">
        <v>2519</v>
      </c>
      <c r="P5" s="4" t="s">
        <v>2515</v>
      </c>
      <c r="Q5" s="4" t="s">
        <v>2516</v>
      </c>
      <c r="R5" s="4"/>
      <c r="S5" s="4"/>
      <c r="T5" s="4" t="str">
        <f>HYPERLINK("http://slimages.macys.com/is/image/MCY/20008078 ")</f>
        <v xml:space="preserve">http://slimages.macys.com/is/image/MCY/20008078 </v>
      </c>
    </row>
    <row r="6" spans="1:20" ht="15" customHeight="1" x14ac:dyDescent="0.25">
      <c r="A6" s="4" t="s">
        <v>2489</v>
      </c>
      <c r="B6" s="2" t="s">
        <v>2487</v>
      </c>
      <c r="C6" s="2" t="s">
        <v>2488</v>
      </c>
      <c r="D6" s="5" t="s">
        <v>2490</v>
      </c>
      <c r="E6" s="4" t="s">
        <v>2491</v>
      </c>
      <c r="F6" s="6">
        <v>14203642</v>
      </c>
      <c r="G6" s="3">
        <v>14203642</v>
      </c>
      <c r="H6" s="7">
        <v>696114432891</v>
      </c>
      <c r="I6" s="8" t="s">
        <v>2116</v>
      </c>
      <c r="J6" s="4">
        <v>39</v>
      </c>
      <c r="K6" s="9">
        <v>19.989999999999998</v>
      </c>
      <c r="L6" s="9">
        <v>779.61</v>
      </c>
      <c r="M6" s="4" t="s">
        <v>2974</v>
      </c>
      <c r="N6" s="4" t="s">
        <v>2548</v>
      </c>
      <c r="O6" s="4" t="s">
        <v>2817</v>
      </c>
      <c r="P6" s="4" t="s">
        <v>2569</v>
      </c>
      <c r="Q6" s="4" t="s">
        <v>2679</v>
      </c>
      <c r="R6" s="4"/>
      <c r="S6" s="4"/>
      <c r="T6" s="4" t="str">
        <f>HYPERLINK("http://slimages.macys.com/is/image/MCY/20426360 ")</f>
        <v xml:space="preserve">http://slimages.macys.com/is/image/MCY/20426360 </v>
      </c>
    </row>
    <row r="7" spans="1:20" ht="15" customHeight="1" x14ac:dyDescent="0.25">
      <c r="A7" s="4" t="s">
        <v>2489</v>
      </c>
      <c r="B7" s="2" t="s">
        <v>2487</v>
      </c>
      <c r="C7" s="2" t="s">
        <v>2488</v>
      </c>
      <c r="D7" s="5" t="s">
        <v>2490</v>
      </c>
      <c r="E7" s="4" t="s">
        <v>2491</v>
      </c>
      <c r="F7" s="6">
        <v>14203642</v>
      </c>
      <c r="G7" s="3">
        <v>14203642</v>
      </c>
      <c r="H7" s="7">
        <v>733003643812</v>
      </c>
      <c r="I7" s="8" t="s">
        <v>78</v>
      </c>
      <c r="J7" s="4">
        <v>4</v>
      </c>
      <c r="K7" s="9">
        <v>18.989999999999998</v>
      </c>
      <c r="L7" s="9">
        <v>75.959999999999994</v>
      </c>
      <c r="M7" s="4" t="s">
        <v>3071</v>
      </c>
      <c r="N7" s="4" t="s">
        <v>2530</v>
      </c>
      <c r="O7" s="4" t="s">
        <v>2650</v>
      </c>
      <c r="P7" s="4" t="s">
        <v>2515</v>
      </c>
      <c r="Q7" s="4" t="s">
        <v>2972</v>
      </c>
      <c r="R7" s="4"/>
      <c r="S7" s="4"/>
      <c r="T7" s="4" t="str">
        <f>HYPERLINK("http://slimages.macys.com/is/image/MCY/20008168 ")</f>
        <v xml:space="preserve">http://slimages.macys.com/is/image/MCY/20008168 </v>
      </c>
    </row>
    <row r="8" spans="1:20" ht="15" customHeight="1" x14ac:dyDescent="0.25">
      <c r="A8" s="4" t="s">
        <v>2489</v>
      </c>
      <c r="B8" s="2" t="s">
        <v>2487</v>
      </c>
      <c r="C8" s="2" t="s">
        <v>2488</v>
      </c>
      <c r="D8" s="5" t="s">
        <v>2490</v>
      </c>
      <c r="E8" s="4" t="s">
        <v>2491</v>
      </c>
      <c r="F8" s="6">
        <v>14203642</v>
      </c>
      <c r="G8" s="3">
        <v>14203642</v>
      </c>
      <c r="H8" s="7">
        <v>733003642792</v>
      </c>
      <c r="I8" s="8" t="s">
        <v>1946</v>
      </c>
      <c r="J8" s="4">
        <v>2</v>
      </c>
      <c r="K8" s="9">
        <v>22.99</v>
      </c>
      <c r="L8" s="9">
        <v>45.98</v>
      </c>
      <c r="M8" s="4" t="s">
        <v>2529</v>
      </c>
      <c r="N8" s="4" t="s">
        <v>2530</v>
      </c>
      <c r="O8" s="4" t="s">
        <v>2671</v>
      </c>
      <c r="P8" s="4" t="s">
        <v>2515</v>
      </c>
      <c r="Q8" s="4" t="s">
        <v>2516</v>
      </c>
      <c r="R8" s="4"/>
      <c r="S8" s="4"/>
      <c r="T8" s="4" t="str">
        <f>HYPERLINK("http://slimages.macys.com/is/image/MCY/20008078 ")</f>
        <v xml:space="preserve">http://slimages.macys.com/is/image/MCY/20008078 </v>
      </c>
    </row>
    <row r="9" spans="1:20" ht="15" customHeight="1" x14ac:dyDescent="0.25">
      <c r="A9" s="4" t="s">
        <v>2489</v>
      </c>
      <c r="B9" s="2" t="s">
        <v>2487</v>
      </c>
      <c r="C9" s="2" t="s">
        <v>2488</v>
      </c>
      <c r="D9" s="5" t="s">
        <v>2490</v>
      </c>
      <c r="E9" s="4" t="s">
        <v>2491</v>
      </c>
      <c r="F9" s="6">
        <v>14203642</v>
      </c>
      <c r="G9" s="3">
        <v>14203642</v>
      </c>
      <c r="H9" s="7">
        <v>807421466350</v>
      </c>
      <c r="I9" s="8" t="s">
        <v>1965</v>
      </c>
      <c r="J9" s="4">
        <v>10</v>
      </c>
      <c r="K9" s="9">
        <v>22.99</v>
      </c>
      <c r="L9" s="9">
        <v>229.9</v>
      </c>
      <c r="M9" s="4" t="s">
        <v>1966</v>
      </c>
      <c r="N9" s="4" t="s">
        <v>2739</v>
      </c>
      <c r="O9" s="4" t="s">
        <v>2555</v>
      </c>
      <c r="P9" s="4" t="s">
        <v>2499</v>
      </c>
      <c r="Q9" s="4" t="s">
        <v>3091</v>
      </c>
      <c r="R9" s="4"/>
      <c r="S9" s="4"/>
      <c r="T9" s="4" t="str">
        <f>HYPERLINK("http://slimages.macys.com/is/image/MCY/20540984 ")</f>
        <v xml:space="preserve">http://slimages.macys.com/is/image/MCY/20540984 </v>
      </c>
    </row>
    <row r="10" spans="1:20" ht="15" customHeight="1" x14ac:dyDescent="0.25">
      <c r="A10" s="4" t="s">
        <v>2489</v>
      </c>
      <c r="B10" s="2" t="s">
        <v>2487</v>
      </c>
      <c r="C10" s="2" t="s">
        <v>2488</v>
      </c>
      <c r="D10" s="5" t="s">
        <v>2490</v>
      </c>
      <c r="E10" s="4" t="s">
        <v>2491</v>
      </c>
      <c r="F10" s="6">
        <v>14203642</v>
      </c>
      <c r="G10" s="3">
        <v>14203642</v>
      </c>
      <c r="H10" s="7">
        <v>882925706379</v>
      </c>
      <c r="I10" s="8" t="s">
        <v>396</v>
      </c>
      <c r="J10" s="4">
        <v>2</v>
      </c>
      <c r="K10" s="9">
        <v>65</v>
      </c>
      <c r="L10" s="9">
        <v>130</v>
      </c>
      <c r="M10" s="4">
        <v>310853604001</v>
      </c>
      <c r="N10" s="4" t="s">
        <v>2501</v>
      </c>
      <c r="O10" s="4" t="s">
        <v>2493</v>
      </c>
      <c r="P10" s="4" t="s">
        <v>3032</v>
      </c>
      <c r="Q10" s="4" t="s">
        <v>2616</v>
      </c>
      <c r="R10" s="4"/>
      <c r="S10" s="4"/>
      <c r="T10" s="4" t="str">
        <f>HYPERLINK("http://slimages.macys.com/is/image/MCY/20057674 ")</f>
        <v xml:space="preserve">http://slimages.macys.com/is/image/MCY/20057674 </v>
      </c>
    </row>
    <row r="11" spans="1:20" ht="15" customHeight="1" x14ac:dyDescent="0.25">
      <c r="A11" s="4" t="s">
        <v>2489</v>
      </c>
      <c r="B11" s="2" t="s">
        <v>2487</v>
      </c>
      <c r="C11" s="2" t="s">
        <v>2488</v>
      </c>
      <c r="D11" s="5" t="s">
        <v>2490</v>
      </c>
      <c r="E11" s="4" t="s">
        <v>2491</v>
      </c>
      <c r="F11" s="6">
        <v>14203642</v>
      </c>
      <c r="G11" s="3">
        <v>14203642</v>
      </c>
      <c r="H11" s="7">
        <v>194870823798</v>
      </c>
      <c r="I11" s="8" t="s">
        <v>2140</v>
      </c>
      <c r="J11" s="4">
        <v>9</v>
      </c>
      <c r="K11" s="9">
        <v>37.99</v>
      </c>
      <c r="L11" s="9">
        <v>341.91</v>
      </c>
      <c r="M11" s="4" t="s">
        <v>3102</v>
      </c>
      <c r="N11" s="4" t="s">
        <v>2567</v>
      </c>
      <c r="O11" s="4"/>
      <c r="P11" s="4" t="s">
        <v>2619</v>
      </c>
      <c r="Q11" s="4" t="s">
        <v>2681</v>
      </c>
      <c r="R11" s="4"/>
      <c r="S11" s="4"/>
      <c r="T11" s="4" t="str">
        <f>HYPERLINK("http://slimages.macys.com/is/image/MCY/20155341 ")</f>
        <v xml:space="preserve">http://slimages.macys.com/is/image/MCY/20155341 </v>
      </c>
    </row>
    <row r="12" spans="1:20" ht="15" customHeight="1" x14ac:dyDescent="0.25">
      <c r="A12" s="4" t="s">
        <v>2489</v>
      </c>
      <c r="B12" s="2" t="s">
        <v>2487</v>
      </c>
      <c r="C12" s="2" t="s">
        <v>2488</v>
      </c>
      <c r="D12" s="5" t="s">
        <v>2490</v>
      </c>
      <c r="E12" s="4" t="s">
        <v>2491</v>
      </c>
      <c r="F12" s="6">
        <v>14203642</v>
      </c>
      <c r="G12" s="3">
        <v>14203642</v>
      </c>
      <c r="H12" s="7">
        <v>733001582595</v>
      </c>
      <c r="I12" s="8" t="s">
        <v>397</v>
      </c>
      <c r="J12" s="4">
        <v>1</v>
      </c>
      <c r="K12" s="9">
        <v>6.99</v>
      </c>
      <c r="L12" s="9">
        <v>6.99</v>
      </c>
      <c r="M12" s="4" t="s">
        <v>2558</v>
      </c>
      <c r="N12" s="4" t="s">
        <v>2600</v>
      </c>
      <c r="O12" s="4" t="s">
        <v>2566</v>
      </c>
      <c r="P12" s="4" t="s">
        <v>2503</v>
      </c>
      <c r="Q12" s="4" t="s">
        <v>2504</v>
      </c>
      <c r="R12" s="4"/>
      <c r="S12" s="4"/>
      <c r="T12" s="4" t="str">
        <f>HYPERLINK("http://slimages.macys.com/is/image/MCY/19762874 ")</f>
        <v xml:space="preserve">http://slimages.macys.com/is/image/MCY/19762874 </v>
      </c>
    </row>
    <row r="13" spans="1:20" ht="15" customHeight="1" x14ac:dyDescent="0.25">
      <c r="A13" s="4" t="s">
        <v>2489</v>
      </c>
      <c r="B13" s="2" t="s">
        <v>2487</v>
      </c>
      <c r="C13" s="2" t="s">
        <v>2488</v>
      </c>
      <c r="D13" s="5" t="s">
        <v>2490</v>
      </c>
      <c r="E13" s="4" t="s">
        <v>2491</v>
      </c>
      <c r="F13" s="6">
        <v>14203642</v>
      </c>
      <c r="G13" s="3">
        <v>14203642</v>
      </c>
      <c r="H13" s="7">
        <v>807421326593</v>
      </c>
      <c r="I13" s="8" t="s">
        <v>86</v>
      </c>
      <c r="J13" s="4">
        <v>2</v>
      </c>
      <c r="K13" s="9">
        <v>44.99</v>
      </c>
      <c r="L13" s="9">
        <v>89.98</v>
      </c>
      <c r="M13" s="4" t="s">
        <v>1937</v>
      </c>
      <c r="N13" s="4" t="s">
        <v>2535</v>
      </c>
      <c r="O13" s="4" t="s">
        <v>2555</v>
      </c>
      <c r="P13" s="4" t="s">
        <v>2499</v>
      </c>
      <c r="Q13" s="4" t="s">
        <v>3091</v>
      </c>
      <c r="R13" s="4"/>
      <c r="S13" s="4"/>
      <c r="T13" s="4" t="str">
        <f>HYPERLINK("http://slimages.macys.com/is/image/MCY/20541015 ")</f>
        <v xml:space="preserve">http://slimages.macys.com/is/image/MCY/20541015 </v>
      </c>
    </row>
    <row r="14" spans="1:20" ht="15" customHeight="1" x14ac:dyDescent="0.25">
      <c r="A14" s="4" t="s">
        <v>2489</v>
      </c>
      <c r="B14" s="2" t="s">
        <v>2487</v>
      </c>
      <c r="C14" s="2" t="s">
        <v>2488</v>
      </c>
      <c r="D14" s="5" t="s">
        <v>2490</v>
      </c>
      <c r="E14" s="4" t="s">
        <v>2491</v>
      </c>
      <c r="F14" s="6">
        <v>14203642</v>
      </c>
      <c r="G14" s="3">
        <v>14203642</v>
      </c>
      <c r="H14" s="7">
        <v>733003640392</v>
      </c>
      <c r="I14" s="8" t="s">
        <v>398</v>
      </c>
      <c r="J14" s="4">
        <v>5</v>
      </c>
      <c r="K14" s="9">
        <v>19.989999999999998</v>
      </c>
      <c r="L14" s="9">
        <v>99.95</v>
      </c>
      <c r="M14" s="4" t="s">
        <v>1891</v>
      </c>
      <c r="N14" s="4" t="s">
        <v>2567</v>
      </c>
      <c r="O14" s="4" t="s">
        <v>2498</v>
      </c>
      <c r="P14" s="4" t="s">
        <v>2734</v>
      </c>
      <c r="Q14" s="4" t="s">
        <v>2735</v>
      </c>
      <c r="R14" s="4"/>
      <c r="S14" s="4"/>
      <c r="T14" s="4" t="str">
        <f>HYPERLINK("http://slimages.macys.com/is/image/MCY/20008237 ")</f>
        <v xml:space="preserve">http://slimages.macys.com/is/image/MCY/20008237 </v>
      </c>
    </row>
    <row r="15" spans="1:20" ht="15" customHeight="1" x14ac:dyDescent="0.25">
      <c r="A15" s="4" t="s">
        <v>2489</v>
      </c>
      <c r="B15" s="2" t="s">
        <v>2487</v>
      </c>
      <c r="C15" s="2" t="s">
        <v>2488</v>
      </c>
      <c r="D15" s="5" t="s">
        <v>2490</v>
      </c>
      <c r="E15" s="4" t="s">
        <v>2491</v>
      </c>
      <c r="F15" s="6">
        <v>14203642</v>
      </c>
      <c r="G15" s="3">
        <v>14203642</v>
      </c>
      <c r="H15" s="7">
        <v>733002266364</v>
      </c>
      <c r="I15" s="8" t="s">
        <v>399</v>
      </c>
      <c r="J15" s="4">
        <v>8</v>
      </c>
      <c r="K15" s="9">
        <v>13.99</v>
      </c>
      <c r="L15" s="9">
        <v>111.92</v>
      </c>
      <c r="M15" s="4" t="s">
        <v>400</v>
      </c>
      <c r="N15" s="4" t="s">
        <v>2571</v>
      </c>
      <c r="O15" s="4" t="s">
        <v>2559</v>
      </c>
      <c r="P15" s="4" t="s">
        <v>2503</v>
      </c>
      <c r="Q15" s="4" t="s">
        <v>2504</v>
      </c>
      <c r="R15" s="4"/>
      <c r="S15" s="4"/>
      <c r="T15" s="4" t="str">
        <f>HYPERLINK("http://slimages.macys.com/is/image/MCY/18509200 ")</f>
        <v xml:space="preserve">http://slimages.macys.com/is/image/MCY/18509200 </v>
      </c>
    </row>
    <row r="16" spans="1:20" ht="15" customHeight="1" x14ac:dyDescent="0.25">
      <c r="A16" s="4" t="s">
        <v>2489</v>
      </c>
      <c r="B16" s="2" t="s">
        <v>2487</v>
      </c>
      <c r="C16" s="2" t="s">
        <v>2488</v>
      </c>
      <c r="D16" s="5" t="s">
        <v>2490</v>
      </c>
      <c r="E16" s="4" t="s">
        <v>2491</v>
      </c>
      <c r="F16" s="6">
        <v>14203642</v>
      </c>
      <c r="G16" s="3">
        <v>14203642</v>
      </c>
      <c r="H16" s="7">
        <v>807421238025</v>
      </c>
      <c r="I16" s="8" t="s">
        <v>401</v>
      </c>
      <c r="J16" s="4">
        <v>18</v>
      </c>
      <c r="K16" s="9">
        <v>13.99</v>
      </c>
      <c r="L16" s="9">
        <v>251.82</v>
      </c>
      <c r="M16" s="4" t="s">
        <v>402</v>
      </c>
      <c r="N16" s="4" t="s">
        <v>2804</v>
      </c>
      <c r="O16" s="4" t="s">
        <v>2587</v>
      </c>
      <c r="P16" s="4" t="s">
        <v>2499</v>
      </c>
      <c r="Q16" s="4" t="s">
        <v>2765</v>
      </c>
      <c r="R16" s="4"/>
      <c r="S16" s="4"/>
      <c r="T16" s="4" t="str">
        <f>HYPERLINK("http://slimages.macys.com/is/image/MCY/20784117 ")</f>
        <v xml:space="preserve">http://slimages.macys.com/is/image/MCY/20784117 </v>
      </c>
    </row>
    <row r="17" spans="1:20" ht="15" customHeight="1" x14ac:dyDescent="0.25">
      <c r="A17" s="4" t="s">
        <v>2489</v>
      </c>
      <c r="B17" s="2" t="s">
        <v>2487</v>
      </c>
      <c r="C17" s="2" t="s">
        <v>2488</v>
      </c>
      <c r="D17" s="5" t="s">
        <v>2490</v>
      </c>
      <c r="E17" s="4" t="s">
        <v>2491</v>
      </c>
      <c r="F17" s="6">
        <v>14203642</v>
      </c>
      <c r="G17" s="3">
        <v>14203642</v>
      </c>
      <c r="H17" s="7">
        <v>696114413210</v>
      </c>
      <c r="I17" s="8" t="s">
        <v>403</v>
      </c>
      <c r="J17" s="4">
        <v>1</v>
      </c>
      <c r="K17" s="9">
        <v>14.99</v>
      </c>
      <c r="L17" s="9">
        <v>14.99</v>
      </c>
      <c r="M17" s="4" t="s">
        <v>2845</v>
      </c>
      <c r="N17" s="4" t="s">
        <v>2501</v>
      </c>
      <c r="O17" s="4" t="s">
        <v>2705</v>
      </c>
      <c r="P17" s="4" t="s">
        <v>2740</v>
      </c>
      <c r="Q17" s="4" t="s">
        <v>2822</v>
      </c>
      <c r="R17" s="4"/>
      <c r="S17" s="4"/>
      <c r="T17" s="4" t="str">
        <f>HYPERLINK("http://slimages.macys.com/is/image/MCY/19731277 ")</f>
        <v xml:space="preserve">http://slimages.macys.com/is/image/MCY/19731277 </v>
      </c>
    </row>
    <row r="18" spans="1:20" ht="15" customHeight="1" x14ac:dyDescent="0.25">
      <c r="A18" s="4" t="s">
        <v>2489</v>
      </c>
      <c r="B18" s="2" t="s">
        <v>2487</v>
      </c>
      <c r="C18" s="2" t="s">
        <v>2488</v>
      </c>
      <c r="D18" s="5" t="s">
        <v>2490</v>
      </c>
      <c r="E18" s="4" t="s">
        <v>2491</v>
      </c>
      <c r="F18" s="6">
        <v>14203642</v>
      </c>
      <c r="G18" s="3">
        <v>14203642</v>
      </c>
      <c r="H18" s="7">
        <v>696114431443</v>
      </c>
      <c r="I18" s="8" t="s">
        <v>1919</v>
      </c>
      <c r="J18" s="4">
        <v>42</v>
      </c>
      <c r="K18" s="9">
        <v>19.989999999999998</v>
      </c>
      <c r="L18" s="9">
        <v>839.58</v>
      </c>
      <c r="M18" s="4" t="s">
        <v>3074</v>
      </c>
      <c r="N18" s="4"/>
      <c r="O18" s="4" t="s">
        <v>2817</v>
      </c>
      <c r="P18" s="4" t="s">
        <v>2569</v>
      </c>
      <c r="Q18" s="4" t="s">
        <v>2679</v>
      </c>
      <c r="R18" s="4"/>
      <c r="S18" s="4"/>
      <c r="T18" s="4" t="str">
        <f>HYPERLINK("http://slimages.macys.com/is/image/MCY/20426376 ")</f>
        <v xml:space="preserve">http://slimages.macys.com/is/image/MCY/20426376 </v>
      </c>
    </row>
    <row r="19" spans="1:20" ht="15" customHeight="1" x14ac:dyDescent="0.25">
      <c r="A19" s="4" t="s">
        <v>2489</v>
      </c>
      <c r="B19" s="2" t="s">
        <v>2487</v>
      </c>
      <c r="C19" s="2" t="s">
        <v>2488</v>
      </c>
      <c r="D19" s="5" t="s">
        <v>2490</v>
      </c>
      <c r="E19" s="4" t="s">
        <v>2491</v>
      </c>
      <c r="F19" s="6">
        <v>14203642</v>
      </c>
      <c r="G19" s="3">
        <v>14203642</v>
      </c>
      <c r="H19" s="7">
        <v>194870823811</v>
      </c>
      <c r="I19" s="8" t="s">
        <v>81</v>
      </c>
      <c r="J19" s="4">
        <v>4</v>
      </c>
      <c r="K19" s="9">
        <v>37.99</v>
      </c>
      <c r="L19" s="9">
        <v>151.96</v>
      </c>
      <c r="M19" s="4" t="s">
        <v>3102</v>
      </c>
      <c r="N19" s="4" t="s">
        <v>2567</v>
      </c>
      <c r="O19" s="4"/>
      <c r="P19" s="4" t="s">
        <v>2619</v>
      </c>
      <c r="Q19" s="4" t="s">
        <v>2681</v>
      </c>
      <c r="R19" s="4"/>
      <c r="S19" s="4"/>
      <c r="T19" s="4" t="str">
        <f>HYPERLINK("http://slimages.macys.com/is/image/MCY/20155341 ")</f>
        <v xml:space="preserve">http://slimages.macys.com/is/image/MCY/20155341 </v>
      </c>
    </row>
    <row r="20" spans="1:20" ht="15" customHeight="1" x14ac:dyDescent="0.25">
      <c r="A20" s="4" t="s">
        <v>2489</v>
      </c>
      <c r="B20" s="2" t="s">
        <v>2487</v>
      </c>
      <c r="C20" s="2" t="s">
        <v>2488</v>
      </c>
      <c r="D20" s="5" t="s">
        <v>2490</v>
      </c>
      <c r="E20" s="4" t="s">
        <v>2491</v>
      </c>
      <c r="F20" s="6">
        <v>14203642</v>
      </c>
      <c r="G20" s="3">
        <v>14203642</v>
      </c>
      <c r="H20" s="7">
        <v>194894145340</v>
      </c>
      <c r="I20" s="8" t="s">
        <v>404</v>
      </c>
      <c r="J20" s="4">
        <v>3</v>
      </c>
      <c r="K20" s="9">
        <v>39.99</v>
      </c>
      <c r="L20" s="9">
        <v>119.97</v>
      </c>
      <c r="M20" s="4">
        <v>1954761</v>
      </c>
      <c r="N20" s="4" t="s">
        <v>2600</v>
      </c>
      <c r="O20" s="4" t="s">
        <v>2555</v>
      </c>
      <c r="P20" s="4" t="s">
        <v>2550</v>
      </c>
      <c r="Q20" s="4" t="s">
        <v>2551</v>
      </c>
      <c r="R20" s="4"/>
      <c r="S20" s="4"/>
      <c r="T20" s="4" t="str">
        <f>HYPERLINK("http://slimages.macys.com/is/image/MCY/21091368 ")</f>
        <v xml:space="preserve">http://slimages.macys.com/is/image/MCY/21091368 </v>
      </c>
    </row>
    <row r="21" spans="1:20" ht="15" customHeight="1" x14ac:dyDescent="0.25">
      <c r="A21" s="4" t="s">
        <v>2489</v>
      </c>
      <c r="B21" s="2" t="s">
        <v>2487</v>
      </c>
      <c r="C21" s="2" t="s">
        <v>2488</v>
      </c>
      <c r="D21" s="5" t="s">
        <v>2490</v>
      </c>
      <c r="E21" s="4" t="s">
        <v>2491</v>
      </c>
      <c r="F21" s="6">
        <v>14203642</v>
      </c>
      <c r="G21" s="3">
        <v>14203642</v>
      </c>
      <c r="H21" s="7">
        <v>193666735918</v>
      </c>
      <c r="I21" s="8" t="s">
        <v>405</v>
      </c>
      <c r="J21" s="4">
        <v>5</v>
      </c>
      <c r="K21" s="9">
        <v>14.99</v>
      </c>
      <c r="L21" s="9">
        <v>74.95</v>
      </c>
      <c r="M21" s="4">
        <v>5146</v>
      </c>
      <c r="N21" s="4" t="s">
        <v>2508</v>
      </c>
      <c r="O21" s="4"/>
      <c r="P21" s="4" t="s">
        <v>2666</v>
      </c>
      <c r="Q21" s="4" t="s">
        <v>2677</v>
      </c>
      <c r="R21" s="4" t="s">
        <v>2552</v>
      </c>
      <c r="S21" s="4" t="s">
        <v>2593</v>
      </c>
      <c r="T21" s="4" t="str">
        <f>HYPERLINK("http://slimages.macys.com/is/image/MCY/17906940 ")</f>
        <v xml:space="preserve">http://slimages.macys.com/is/image/MCY/17906940 </v>
      </c>
    </row>
    <row r="22" spans="1:20" ht="15" customHeight="1" x14ac:dyDescent="0.25">
      <c r="A22" s="4" t="s">
        <v>2489</v>
      </c>
      <c r="B22" s="2" t="s">
        <v>2487</v>
      </c>
      <c r="C22" s="2" t="s">
        <v>2488</v>
      </c>
      <c r="D22" s="5" t="s">
        <v>2490</v>
      </c>
      <c r="E22" s="4" t="s">
        <v>2491</v>
      </c>
      <c r="F22" s="6">
        <v>14203642</v>
      </c>
      <c r="G22" s="3">
        <v>14203642</v>
      </c>
      <c r="H22" s="7">
        <v>807421333058</v>
      </c>
      <c r="I22" s="8" t="s">
        <v>406</v>
      </c>
      <c r="J22" s="4">
        <v>2</v>
      </c>
      <c r="K22" s="9">
        <v>42.99</v>
      </c>
      <c r="L22" s="9">
        <v>85.98</v>
      </c>
      <c r="M22" s="4" t="s">
        <v>3090</v>
      </c>
      <c r="N22" s="4" t="s">
        <v>2676</v>
      </c>
      <c r="O22" s="4" t="s">
        <v>2498</v>
      </c>
      <c r="P22" s="4" t="s">
        <v>2499</v>
      </c>
      <c r="Q22" s="4" t="s">
        <v>3091</v>
      </c>
      <c r="R22" s="4"/>
      <c r="S22" s="4"/>
      <c r="T22" s="4" t="str">
        <f>HYPERLINK("http://slimages.macys.com/is/image/MCY/21920448 ")</f>
        <v xml:space="preserve">http://slimages.macys.com/is/image/MCY/21920448 </v>
      </c>
    </row>
    <row r="23" spans="1:20" ht="15" customHeight="1" x14ac:dyDescent="0.25">
      <c r="A23" s="4" t="s">
        <v>2489</v>
      </c>
      <c r="B23" s="2" t="s">
        <v>2487</v>
      </c>
      <c r="C23" s="2" t="s">
        <v>2488</v>
      </c>
      <c r="D23" s="5" t="s">
        <v>2490</v>
      </c>
      <c r="E23" s="4" t="s">
        <v>2491</v>
      </c>
      <c r="F23" s="6">
        <v>14203642</v>
      </c>
      <c r="G23" s="3">
        <v>14203642</v>
      </c>
      <c r="H23" s="7">
        <v>889799981444</v>
      </c>
      <c r="I23" s="8" t="s">
        <v>2117</v>
      </c>
      <c r="J23" s="4">
        <v>12</v>
      </c>
      <c r="K23" s="9">
        <v>17.989999999999998</v>
      </c>
      <c r="L23" s="9">
        <v>215.88</v>
      </c>
      <c r="M23" s="4" t="s">
        <v>1949</v>
      </c>
      <c r="N23" s="4" t="s">
        <v>2544</v>
      </c>
      <c r="O23" s="4" t="s">
        <v>2587</v>
      </c>
      <c r="P23" s="4" t="s">
        <v>2569</v>
      </c>
      <c r="Q23" s="4" t="s">
        <v>2570</v>
      </c>
      <c r="R23" s="4"/>
      <c r="S23" s="4"/>
      <c r="T23" s="4" t="str">
        <f>HYPERLINK("http://slimages.macys.com/is/image/MCY/20145302 ")</f>
        <v xml:space="preserve">http://slimages.macys.com/is/image/MCY/20145302 </v>
      </c>
    </row>
    <row r="24" spans="1:20" ht="15" customHeight="1" x14ac:dyDescent="0.25">
      <c r="A24" s="4" t="s">
        <v>2489</v>
      </c>
      <c r="B24" s="2" t="s">
        <v>2487</v>
      </c>
      <c r="C24" s="2" t="s">
        <v>2488</v>
      </c>
      <c r="D24" s="5" t="s">
        <v>2490</v>
      </c>
      <c r="E24" s="4" t="s">
        <v>2491</v>
      </c>
      <c r="F24" s="6">
        <v>14203642</v>
      </c>
      <c r="G24" s="3">
        <v>14203642</v>
      </c>
      <c r="H24" s="7">
        <v>696114431726</v>
      </c>
      <c r="I24" s="8" t="s">
        <v>407</v>
      </c>
      <c r="J24" s="4">
        <v>10</v>
      </c>
      <c r="K24" s="9">
        <v>19.989999999999998</v>
      </c>
      <c r="L24" s="9">
        <v>199.9</v>
      </c>
      <c r="M24" s="4" t="s">
        <v>1907</v>
      </c>
      <c r="N24" s="4" t="s">
        <v>2501</v>
      </c>
      <c r="O24" s="4"/>
      <c r="P24" s="4" t="s">
        <v>2569</v>
      </c>
      <c r="Q24" s="4" t="s">
        <v>2679</v>
      </c>
      <c r="R24" s="4"/>
      <c r="S24" s="4"/>
      <c r="T24" s="4" t="str">
        <f>HYPERLINK("http://slimages.macys.com/is/image/MCY/20426369 ")</f>
        <v xml:space="preserve">http://slimages.macys.com/is/image/MCY/20426369 </v>
      </c>
    </row>
    <row r="25" spans="1:20" ht="15" customHeight="1" x14ac:dyDescent="0.25">
      <c r="A25" s="4" t="s">
        <v>2489</v>
      </c>
      <c r="B25" s="2" t="s">
        <v>2487</v>
      </c>
      <c r="C25" s="2" t="s">
        <v>2488</v>
      </c>
      <c r="D25" s="5" t="s">
        <v>2490</v>
      </c>
      <c r="E25" s="4" t="s">
        <v>2491</v>
      </c>
      <c r="F25" s="6">
        <v>14203642</v>
      </c>
      <c r="G25" s="3">
        <v>14203642</v>
      </c>
      <c r="H25" s="7">
        <v>194257539762</v>
      </c>
      <c r="I25" s="8" t="s">
        <v>1911</v>
      </c>
      <c r="J25" s="4">
        <v>4</v>
      </c>
      <c r="K25" s="9">
        <v>16.25</v>
      </c>
      <c r="L25" s="9">
        <v>65</v>
      </c>
      <c r="M25" s="4" t="s">
        <v>1912</v>
      </c>
      <c r="N25" s="4" t="s">
        <v>2514</v>
      </c>
      <c r="O25" s="4" t="s">
        <v>2498</v>
      </c>
      <c r="P25" s="4" t="s">
        <v>2619</v>
      </c>
      <c r="Q25" s="4" t="s">
        <v>2500</v>
      </c>
      <c r="R25" s="4"/>
      <c r="S25" s="4"/>
      <c r="T25" s="4" t="str">
        <f>HYPERLINK("http://slimages.macys.com/is/image/MCY/17602101 ")</f>
        <v xml:space="preserve">http://slimages.macys.com/is/image/MCY/17602101 </v>
      </c>
    </row>
    <row r="26" spans="1:20" ht="15" customHeight="1" x14ac:dyDescent="0.25">
      <c r="A26" s="4" t="s">
        <v>2489</v>
      </c>
      <c r="B26" s="2" t="s">
        <v>2487</v>
      </c>
      <c r="C26" s="2" t="s">
        <v>2488</v>
      </c>
      <c r="D26" s="5" t="s">
        <v>2490</v>
      </c>
      <c r="E26" s="4" t="s">
        <v>2491</v>
      </c>
      <c r="F26" s="6">
        <v>14203642</v>
      </c>
      <c r="G26" s="3">
        <v>14203642</v>
      </c>
      <c r="H26" s="7">
        <v>196027059357</v>
      </c>
      <c r="I26" s="8" t="s">
        <v>1962</v>
      </c>
      <c r="J26" s="4">
        <v>32</v>
      </c>
      <c r="K26" s="9">
        <v>30.99</v>
      </c>
      <c r="L26" s="9">
        <v>991.68</v>
      </c>
      <c r="M26" s="4" t="s">
        <v>3028</v>
      </c>
      <c r="N26" s="4" t="s">
        <v>2544</v>
      </c>
      <c r="O26" s="4">
        <v>4</v>
      </c>
      <c r="P26" s="4" t="s">
        <v>2569</v>
      </c>
      <c r="Q26" s="4" t="s">
        <v>2570</v>
      </c>
      <c r="R26" s="4"/>
      <c r="S26" s="4"/>
      <c r="T26" s="4" t="str">
        <f>HYPERLINK("http://slimages.macys.com/is/image/MCY/20662529 ")</f>
        <v xml:space="preserve">http://slimages.macys.com/is/image/MCY/20662529 </v>
      </c>
    </row>
    <row r="27" spans="1:20" ht="15" customHeight="1" x14ac:dyDescent="0.25">
      <c r="A27" s="4" t="s">
        <v>2489</v>
      </c>
      <c r="B27" s="2" t="s">
        <v>2487</v>
      </c>
      <c r="C27" s="2" t="s">
        <v>2488</v>
      </c>
      <c r="D27" s="5" t="s">
        <v>2490</v>
      </c>
      <c r="E27" s="4" t="s">
        <v>2491</v>
      </c>
      <c r="F27" s="6">
        <v>14203642</v>
      </c>
      <c r="G27" s="3">
        <v>14203642</v>
      </c>
      <c r="H27" s="7">
        <v>196027002650</v>
      </c>
      <c r="I27" s="8" t="s">
        <v>90</v>
      </c>
      <c r="J27" s="4">
        <v>12</v>
      </c>
      <c r="K27" s="9">
        <v>19.989999999999998</v>
      </c>
      <c r="L27" s="9">
        <v>239.88</v>
      </c>
      <c r="M27" s="4" t="s">
        <v>1932</v>
      </c>
      <c r="N27" s="4" t="s">
        <v>2544</v>
      </c>
      <c r="O27" s="4">
        <v>6</v>
      </c>
      <c r="P27" s="4" t="s">
        <v>2569</v>
      </c>
      <c r="Q27" s="4" t="s">
        <v>2570</v>
      </c>
      <c r="R27" s="4"/>
      <c r="S27" s="4"/>
      <c r="T27" s="4" t="str">
        <f>HYPERLINK("http://slimages.macys.com/is/image/MCY/20084499 ")</f>
        <v xml:space="preserve">http://slimages.macys.com/is/image/MCY/20084499 </v>
      </c>
    </row>
    <row r="28" spans="1:20" ht="15" customHeight="1" x14ac:dyDescent="0.25">
      <c r="A28" s="4" t="s">
        <v>2489</v>
      </c>
      <c r="B28" s="2" t="s">
        <v>2487</v>
      </c>
      <c r="C28" s="2" t="s">
        <v>2488</v>
      </c>
      <c r="D28" s="5" t="s">
        <v>2490</v>
      </c>
      <c r="E28" s="4" t="s">
        <v>2491</v>
      </c>
      <c r="F28" s="6">
        <v>14203642</v>
      </c>
      <c r="G28" s="3">
        <v>14203642</v>
      </c>
      <c r="H28" s="7">
        <v>80538129893</v>
      </c>
      <c r="I28" s="8" t="s">
        <v>1294</v>
      </c>
      <c r="J28" s="4">
        <v>6</v>
      </c>
      <c r="K28" s="9">
        <v>12.99</v>
      </c>
      <c r="L28" s="9">
        <v>77.94</v>
      </c>
      <c r="M28" s="4" t="s">
        <v>2987</v>
      </c>
      <c r="N28" s="4" t="s">
        <v>2567</v>
      </c>
      <c r="O28" s="4" t="s">
        <v>2930</v>
      </c>
      <c r="P28" s="4" t="s">
        <v>2666</v>
      </c>
      <c r="Q28" s="4" t="s">
        <v>2778</v>
      </c>
      <c r="R28" s="4"/>
      <c r="S28" s="4"/>
      <c r="T28" s="4" t="str">
        <f>HYPERLINK("http://slimages.macys.com/is/image/MCY/20052304 ")</f>
        <v xml:space="preserve">http://slimages.macys.com/is/image/MCY/20052304 </v>
      </c>
    </row>
    <row r="29" spans="1:20" ht="15" customHeight="1" x14ac:dyDescent="0.25">
      <c r="A29" s="4" t="s">
        <v>2489</v>
      </c>
      <c r="B29" s="2" t="s">
        <v>2487</v>
      </c>
      <c r="C29" s="2" t="s">
        <v>2488</v>
      </c>
      <c r="D29" s="5" t="s">
        <v>2490</v>
      </c>
      <c r="E29" s="4" t="s">
        <v>2491</v>
      </c>
      <c r="F29" s="6">
        <v>14203642</v>
      </c>
      <c r="G29" s="3">
        <v>14203642</v>
      </c>
      <c r="H29" s="7">
        <v>807421326531</v>
      </c>
      <c r="I29" s="8" t="s">
        <v>408</v>
      </c>
      <c r="J29" s="4">
        <v>3</v>
      </c>
      <c r="K29" s="9">
        <v>44.99</v>
      </c>
      <c r="L29" s="9">
        <v>134.97</v>
      </c>
      <c r="M29" s="4" t="s">
        <v>1937</v>
      </c>
      <c r="N29" s="4" t="s">
        <v>2526</v>
      </c>
      <c r="O29" s="4" t="s">
        <v>2519</v>
      </c>
      <c r="P29" s="4" t="s">
        <v>2499</v>
      </c>
      <c r="Q29" s="4" t="s">
        <v>3091</v>
      </c>
      <c r="R29" s="4"/>
      <c r="S29" s="4"/>
      <c r="T29" s="4" t="str">
        <f>HYPERLINK("http://slimages.macys.com/is/image/MCY/20541015 ")</f>
        <v xml:space="preserve">http://slimages.macys.com/is/image/MCY/20541015 </v>
      </c>
    </row>
    <row r="30" spans="1:20" ht="15" customHeight="1" x14ac:dyDescent="0.25">
      <c r="A30" s="4" t="s">
        <v>2489</v>
      </c>
      <c r="B30" s="2" t="s">
        <v>2487</v>
      </c>
      <c r="C30" s="2" t="s">
        <v>2488</v>
      </c>
      <c r="D30" s="5" t="s">
        <v>2490</v>
      </c>
      <c r="E30" s="4" t="s">
        <v>2491</v>
      </c>
      <c r="F30" s="6">
        <v>14203642</v>
      </c>
      <c r="G30" s="3">
        <v>14203642</v>
      </c>
      <c r="H30" s="7">
        <v>193666760316</v>
      </c>
      <c r="I30" s="8" t="s">
        <v>409</v>
      </c>
      <c r="J30" s="4">
        <v>2</v>
      </c>
      <c r="K30" s="9">
        <v>15.99</v>
      </c>
      <c r="L30" s="9">
        <v>31.98</v>
      </c>
      <c r="M30" s="4">
        <v>4348</v>
      </c>
      <c r="N30" s="4"/>
      <c r="O30" s="4" t="s">
        <v>2498</v>
      </c>
      <c r="P30" s="4" t="s">
        <v>2666</v>
      </c>
      <c r="Q30" s="4" t="s">
        <v>2667</v>
      </c>
      <c r="R30" s="4"/>
      <c r="S30" s="4"/>
      <c r="T30" s="4" t="str">
        <f>HYPERLINK("http://slimages.macys.com/is/image/MCY/18821724 ")</f>
        <v xml:space="preserve">http://slimages.macys.com/is/image/MCY/18821724 </v>
      </c>
    </row>
    <row r="31" spans="1:20" ht="15" customHeight="1" x14ac:dyDescent="0.25">
      <c r="A31" s="4" t="s">
        <v>2489</v>
      </c>
      <c r="B31" s="2" t="s">
        <v>2487</v>
      </c>
      <c r="C31" s="2" t="s">
        <v>2488</v>
      </c>
      <c r="D31" s="5" t="s">
        <v>2490</v>
      </c>
      <c r="E31" s="4" t="s">
        <v>2491</v>
      </c>
      <c r="F31" s="6">
        <v>14203642</v>
      </c>
      <c r="G31" s="3">
        <v>14203642</v>
      </c>
      <c r="H31" s="7">
        <v>742728726328</v>
      </c>
      <c r="I31" s="8" t="s">
        <v>523</v>
      </c>
      <c r="J31" s="4">
        <v>4</v>
      </c>
      <c r="K31" s="9">
        <v>75</v>
      </c>
      <c r="L31" s="9">
        <v>300</v>
      </c>
      <c r="M31" s="4" t="s">
        <v>1973</v>
      </c>
      <c r="N31" s="4" t="s">
        <v>2804</v>
      </c>
      <c r="O31" s="4" t="s">
        <v>2705</v>
      </c>
      <c r="P31" s="4" t="s">
        <v>2499</v>
      </c>
      <c r="Q31" s="4" t="s">
        <v>2765</v>
      </c>
      <c r="R31" s="4"/>
      <c r="S31" s="4"/>
      <c r="T31" s="4" t="str">
        <f>HYPERLINK("http://slimages.macys.com/is/image/MCY/20020024 ")</f>
        <v xml:space="preserve">http://slimages.macys.com/is/image/MCY/20020024 </v>
      </c>
    </row>
    <row r="32" spans="1:20" ht="15" customHeight="1" x14ac:dyDescent="0.25">
      <c r="A32" s="4" t="s">
        <v>2489</v>
      </c>
      <c r="B32" s="2" t="s">
        <v>2487</v>
      </c>
      <c r="C32" s="2" t="s">
        <v>2488</v>
      </c>
      <c r="D32" s="5" t="s">
        <v>2490</v>
      </c>
      <c r="E32" s="4" t="s">
        <v>2491</v>
      </c>
      <c r="F32" s="6">
        <v>14203642</v>
      </c>
      <c r="G32" s="3">
        <v>14203642</v>
      </c>
      <c r="H32" s="7">
        <v>195958201057</v>
      </c>
      <c r="I32" s="8" t="s">
        <v>410</v>
      </c>
      <c r="J32" s="4">
        <v>1</v>
      </c>
      <c r="K32" s="9">
        <v>37.5</v>
      </c>
      <c r="L32" s="9">
        <v>37.5</v>
      </c>
      <c r="M32" s="4" t="s">
        <v>411</v>
      </c>
      <c r="N32" s="4" t="s">
        <v>2505</v>
      </c>
      <c r="O32" s="4" t="s">
        <v>2653</v>
      </c>
      <c r="P32" s="4" t="s">
        <v>2876</v>
      </c>
      <c r="Q32" s="4" t="s">
        <v>2877</v>
      </c>
      <c r="R32" s="4"/>
      <c r="S32" s="4"/>
      <c r="T32" s="4" t="str">
        <f>HYPERLINK("http://slimages.macys.com/is/image/MCY/20006171 ")</f>
        <v xml:space="preserve">http://slimages.macys.com/is/image/MCY/20006171 </v>
      </c>
    </row>
    <row r="33" spans="1:20" ht="15" customHeight="1" x14ac:dyDescent="0.25">
      <c r="A33" s="4" t="s">
        <v>2489</v>
      </c>
      <c r="B33" s="2" t="s">
        <v>2487</v>
      </c>
      <c r="C33" s="2" t="s">
        <v>2488</v>
      </c>
      <c r="D33" s="5" t="s">
        <v>2490</v>
      </c>
      <c r="E33" s="4" t="s">
        <v>2491</v>
      </c>
      <c r="F33" s="6">
        <v>14203642</v>
      </c>
      <c r="G33" s="3">
        <v>14203642</v>
      </c>
      <c r="H33" s="7">
        <v>196027095348</v>
      </c>
      <c r="I33" s="8" t="s">
        <v>3448</v>
      </c>
      <c r="J33" s="4">
        <v>7</v>
      </c>
      <c r="K33" s="9">
        <v>29.99</v>
      </c>
      <c r="L33" s="9">
        <v>209.93</v>
      </c>
      <c r="M33" s="4" t="s">
        <v>412</v>
      </c>
      <c r="N33" s="4" t="s">
        <v>2544</v>
      </c>
      <c r="O33" s="4"/>
      <c r="P33" s="4" t="s">
        <v>2569</v>
      </c>
      <c r="Q33" s="4" t="s">
        <v>2755</v>
      </c>
      <c r="R33" s="4"/>
      <c r="S33" s="4"/>
      <c r="T33" s="4" t="str">
        <f>HYPERLINK("http://slimages.macys.com/is/image/MCY/20750320 ")</f>
        <v xml:space="preserve">http://slimages.macys.com/is/image/MCY/20750320 </v>
      </c>
    </row>
    <row r="34" spans="1:20" ht="15" customHeight="1" x14ac:dyDescent="0.25">
      <c r="A34" s="4" t="s">
        <v>2489</v>
      </c>
      <c r="B34" s="2" t="s">
        <v>2487</v>
      </c>
      <c r="C34" s="2" t="s">
        <v>2488</v>
      </c>
      <c r="D34" s="5" t="s">
        <v>2490</v>
      </c>
      <c r="E34" s="4" t="s">
        <v>2491</v>
      </c>
      <c r="F34" s="6">
        <v>14203642</v>
      </c>
      <c r="G34" s="3">
        <v>14203642</v>
      </c>
      <c r="H34" s="7">
        <v>696114425367</v>
      </c>
      <c r="I34" s="8" t="s">
        <v>413</v>
      </c>
      <c r="J34" s="4">
        <v>21</v>
      </c>
      <c r="K34" s="9">
        <v>19.989999999999998</v>
      </c>
      <c r="L34" s="9">
        <v>419.79</v>
      </c>
      <c r="M34" s="4" t="s">
        <v>414</v>
      </c>
      <c r="N34" s="4"/>
      <c r="O34" s="4"/>
      <c r="P34" s="4" t="s">
        <v>2569</v>
      </c>
      <c r="Q34" s="4" t="s">
        <v>2679</v>
      </c>
      <c r="R34" s="4"/>
      <c r="S34" s="4"/>
      <c r="T34" s="4" t="str">
        <f>HYPERLINK("http://slimages.macys.com/is/image/MCY/20291230 ")</f>
        <v xml:space="preserve">http://slimages.macys.com/is/image/MCY/20291230 </v>
      </c>
    </row>
    <row r="35" spans="1:20" ht="15" customHeight="1" x14ac:dyDescent="0.25">
      <c r="A35" s="4" t="s">
        <v>2489</v>
      </c>
      <c r="B35" s="2" t="s">
        <v>2487</v>
      </c>
      <c r="C35" s="2" t="s">
        <v>2488</v>
      </c>
      <c r="D35" s="5" t="s">
        <v>2490</v>
      </c>
      <c r="E35" s="4" t="s">
        <v>2491</v>
      </c>
      <c r="F35" s="6">
        <v>14203642</v>
      </c>
      <c r="G35" s="3">
        <v>14203642</v>
      </c>
      <c r="H35" s="7">
        <v>882925706416</v>
      </c>
      <c r="I35" s="8" t="s">
        <v>2106</v>
      </c>
      <c r="J35" s="4">
        <v>3</v>
      </c>
      <c r="K35" s="9">
        <v>65</v>
      </c>
      <c r="L35" s="9">
        <v>195</v>
      </c>
      <c r="M35" s="4">
        <v>310853604001</v>
      </c>
      <c r="N35" s="4" t="s">
        <v>2501</v>
      </c>
      <c r="O35" s="4" t="s">
        <v>2597</v>
      </c>
      <c r="P35" s="4" t="s">
        <v>3032</v>
      </c>
      <c r="Q35" s="4" t="s">
        <v>2616</v>
      </c>
      <c r="R35" s="4"/>
      <c r="S35" s="4"/>
      <c r="T35" s="4" t="str">
        <f>HYPERLINK("http://slimages.macys.com/is/image/MCY/20057674 ")</f>
        <v xml:space="preserve">http://slimages.macys.com/is/image/MCY/20057674 </v>
      </c>
    </row>
    <row r="36" spans="1:20" ht="15" customHeight="1" x14ac:dyDescent="0.25">
      <c r="A36" s="4" t="s">
        <v>2489</v>
      </c>
      <c r="B36" s="2" t="s">
        <v>2487</v>
      </c>
      <c r="C36" s="2" t="s">
        <v>2488</v>
      </c>
      <c r="D36" s="5" t="s">
        <v>2490</v>
      </c>
      <c r="E36" s="4" t="s">
        <v>2491</v>
      </c>
      <c r="F36" s="6">
        <v>14203642</v>
      </c>
      <c r="G36" s="3">
        <v>14203642</v>
      </c>
      <c r="H36" s="7">
        <v>195883275345</v>
      </c>
      <c r="I36" s="8" t="s">
        <v>415</v>
      </c>
      <c r="J36" s="4">
        <v>10</v>
      </c>
      <c r="K36" s="9">
        <v>25.99</v>
      </c>
      <c r="L36" s="9">
        <v>259.89999999999998</v>
      </c>
      <c r="M36" s="4" t="s">
        <v>416</v>
      </c>
      <c r="N36" s="4" t="s">
        <v>2544</v>
      </c>
      <c r="O36" s="4" t="s">
        <v>2555</v>
      </c>
      <c r="P36" s="4" t="s">
        <v>2536</v>
      </c>
      <c r="Q36" s="4" t="s">
        <v>3199</v>
      </c>
      <c r="R36" s="4"/>
      <c r="S36" s="4"/>
      <c r="T36" s="4" t="str">
        <f>HYPERLINK("http://slimages.macys.com/is/image/MCY/22019498 ")</f>
        <v xml:space="preserve">http://slimages.macys.com/is/image/MCY/22019498 </v>
      </c>
    </row>
    <row r="37" spans="1:20" ht="15" customHeight="1" x14ac:dyDescent="0.25">
      <c r="A37" s="4" t="s">
        <v>2489</v>
      </c>
      <c r="B37" s="2" t="s">
        <v>2487</v>
      </c>
      <c r="C37" s="2" t="s">
        <v>2488</v>
      </c>
      <c r="D37" s="5" t="s">
        <v>2490</v>
      </c>
      <c r="E37" s="4" t="s">
        <v>2491</v>
      </c>
      <c r="F37" s="6">
        <v>14203642</v>
      </c>
      <c r="G37" s="3">
        <v>14203642</v>
      </c>
      <c r="H37" s="7">
        <v>696114431658</v>
      </c>
      <c r="I37" s="8" t="s">
        <v>1913</v>
      </c>
      <c r="J37" s="4">
        <v>6</v>
      </c>
      <c r="K37" s="9">
        <v>19.989999999999998</v>
      </c>
      <c r="L37" s="9">
        <v>119.94</v>
      </c>
      <c r="M37" s="4" t="s">
        <v>1914</v>
      </c>
      <c r="N37" s="4" t="s">
        <v>2523</v>
      </c>
      <c r="O37" s="4" t="s">
        <v>2817</v>
      </c>
      <c r="P37" s="4" t="s">
        <v>2569</v>
      </c>
      <c r="Q37" s="4" t="s">
        <v>2679</v>
      </c>
      <c r="R37" s="4"/>
      <c r="S37" s="4"/>
      <c r="T37" s="4" t="str">
        <f>HYPERLINK("http://slimages.macys.com/is/image/MCY/20426371 ")</f>
        <v xml:space="preserve">http://slimages.macys.com/is/image/MCY/20426371 </v>
      </c>
    </row>
    <row r="38" spans="1:20" ht="15" customHeight="1" x14ac:dyDescent="0.25">
      <c r="A38" s="4" t="s">
        <v>2489</v>
      </c>
      <c r="B38" s="2" t="s">
        <v>2487</v>
      </c>
      <c r="C38" s="2" t="s">
        <v>2488</v>
      </c>
      <c r="D38" s="5" t="s">
        <v>2490</v>
      </c>
      <c r="E38" s="4" t="s">
        <v>2491</v>
      </c>
      <c r="F38" s="6">
        <v>14203642</v>
      </c>
      <c r="G38" s="3">
        <v>14203642</v>
      </c>
      <c r="H38" s="7">
        <v>194135413818</v>
      </c>
      <c r="I38" s="8" t="s">
        <v>417</v>
      </c>
      <c r="J38" s="4">
        <v>24</v>
      </c>
      <c r="K38" s="9">
        <v>25.07</v>
      </c>
      <c r="L38" s="9">
        <v>601.67999999999995</v>
      </c>
      <c r="M38" s="4" t="s">
        <v>418</v>
      </c>
      <c r="N38" s="4"/>
      <c r="O38" s="4" t="s">
        <v>2502</v>
      </c>
      <c r="P38" s="4" t="s">
        <v>2494</v>
      </c>
      <c r="Q38" s="4" t="s">
        <v>2560</v>
      </c>
      <c r="R38" s="4"/>
      <c r="S38" s="4"/>
      <c r="T38" s="4" t="str">
        <f>HYPERLINK("http://slimages.macys.com/is/image/MCY/19967987 ")</f>
        <v xml:space="preserve">http://slimages.macys.com/is/image/MCY/19967987 </v>
      </c>
    </row>
    <row r="39" spans="1:20" ht="15" customHeight="1" x14ac:dyDescent="0.25">
      <c r="A39" s="4" t="s">
        <v>2489</v>
      </c>
      <c r="B39" s="2" t="s">
        <v>2487</v>
      </c>
      <c r="C39" s="2" t="s">
        <v>2488</v>
      </c>
      <c r="D39" s="5" t="s">
        <v>2490</v>
      </c>
      <c r="E39" s="4" t="s">
        <v>2491</v>
      </c>
      <c r="F39" s="6">
        <v>14203642</v>
      </c>
      <c r="G39" s="3">
        <v>14203642</v>
      </c>
      <c r="H39" s="7">
        <v>196027073223</v>
      </c>
      <c r="I39" s="8" t="s">
        <v>80</v>
      </c>
      <c r="J39" s="4">
        <v>10</v>
      </c>
      <c r="K39" s="9">
        <v>17.989999999999998</v>
      </c>
      <c r="L39" s="9">
        <v>179.9</v>
      </c>
      <c r="M39" s="4" t="s">
        <v>1704</v>
      </c>
      <c r="N39" s="4" t="s">
        <v>2544</v>
      </c>
      <c r="O39" s="4" t="s">
        <v>2524</v>
      </c>
      <c r="P39" s="4" t="s">
        <v>2569</v>
      </c>
      <c r="Q39" s="4" t="s">
        <v>2570</v>
      </c>
      <c r="R39" s="4"/>
      <c r="S39" s="4"/>
      <c r="T39" s="4" t="str">
        <f>HYPERLINK("http://slimages.macys.com/is/image/MCY/20662587 ")</f>
        <v xml:space="preserve">http://slimages.macys.com/is/image/MCY/20662587 </v>
      </c>
    </row>
    <row r="40" spans="1:20" ht="15" customHeight="1" x14ac:dyDescent="0.25">
      <c r="A40" s="4" t="s">
        <v>2489</v>
      </c>
      <c r="B40" s="2" t="s">
        <v>2487</v>
      </c>
      <c r="C40" s="2" t="s">
        <v>2488</v>
      </c>
      <c r="D40" s="5" t="s">
        <v>2490</v>
      </c>
      <c r="E40" s="4" t="s">
        <v>2491</v>
      </c>
      <c r="F40" s="6">
        <v>14203642</v>
      </c>
      <c r="G40" s="3">
        <v>14203642</v>
      </c>
      <c r="H40" s="7">
        <v>196027095058</v>
      </c>
      <c r="I40" s="8" t="s">
        <v>3448</v>
      </c>
      <c r="J40" s="4">
        <v>6</v>
      </c>
      <c r="K40" s="9">
        <v>29.99</v>
      </c>
      <c r="L40" s="9">
        <v>179.94</v>
      </c>
      <c r="M40" s="4" t="s">
        <v>3449</v>
      </c>
      <c r="N40" s="4" t="s">
        <v>2544</v>
      </c>
      <c r="O40" s="4"/>
      <c r="P40" s="4" t="s">
        <v>2569</v>
      </c>
      <c r="Q40" s="4" t="s">
        <v>2755</v>
      </c>
      <c r="R40" s="4"/>
      <c r="S40" s="4"/>
      <c r="T40" s="4" t="str">
        <f>HYPERLINK("http://slimages.macys.com/is/image/MCY/20750279 ")</f>
        <v xml:space="preserve">http://slimages.macys.com/is/image/MCY/20750279 </v>
      </c>
    </row>
    <row r="41" spans="1:20" ht="15" customHeight="1" x14ac:dyDescent="0.25">
      <c r="A41" s="4" t="s">
        <v>2489</v>
      </c>
      <c r="B41" s="2" t="s">
        <v>2487</v>
      </c>
      <c r="C41" s="2" t="s">
        <v>2488</v>
      </c>
      <c r="D41" s="5" t="s">
        <v>2490</v>
      </c>
      <c r="E41" s="4" t="s">
        <v>2491</v>
      </c>
      <c r="F41" s="6">
        <v>14203642</v>
      </c>
      <c r="G41" s="3">
        <v>14203642</v>
      </c>
      <c r="H41" s="7">
        <v>196027095171</v>
      </c>
      <c r="I41" s="8" t="s">
        <v>87</v>
      </c>
      <c r="J41" s="4">
        <v>6</v>
      </c>
      <c r="K41" s="9">
        <v>29.99</v>
      </c>
      <c r="L41" s="9">
        <v>179.94</v>
      </c>
      <c r="M41" s="4" t="s">
        <v>2110</v>
      </c>
      <c r="N41" s="4" t="s">
        <v>2544</v>
      </c>
      <c r="O41" s="10">
        <v>45084</v>
      </c>
      <c r="P41" s="4" t="s">
        <v>2569</v>
      </c>
      <c r="Q41" s="4" t="s">
        <v>2898</v>
      </c>
      <c r="R41" s="4"/>
      <c r="S41" s="4"/>
      <c r="T41" s="4" t="str">
        <f>HYPERLINK("http://slimages.macys.com/is/image/MCY/20750296 ")</f>
        <v xml:space="preserve">http://slimages.macys.com/is/image/MCY/20750296 </v>
      </c>
    </row>
    <row r="42" spans="1:20" ht="15" customHeight="1" x14ac:dyDescent="0.25">
      <c r="A42" s="4" t="s">
        <v>2489</v>
      </c>
      <c r="B42" s="2" t="s">
        <v>2487</v>
      </c>
      <c r="C42" s="2" t="s">
        <v>2488</v>
      </c>
      <c r="D42" s="5" t="s">
        <v>2490</v>
      </c>
      <c r="E42" s="4" t="s">
        <v>2491</v>
      </c>
      <c r="F42" s="6">
        <v>14203642</v>
      </c>
      <c r="G42" s="3">
        <v>14203642</v>
      </c>
      <c r="H42" s="7">
        <v>194870823705</v>
      </c>
      <c r="I42" s="8" t="s">
        <v>2132</v>
      </c>
      <c r="J42" s="4">
        <v>6</v>
      </c>
      <c r="K42" s="9">
        <v>37.99</v>
      </c>
      <c r="L42" s="9">
        <v>227.94</v>
      </c>
      <c r="M42" s="4" t="s">
        <v>3102</v>
      </c>
      <c r="N42" s="4" t="s">
        <v>2805</v>
      </c>
      <c r="O42" s="4"/>
      <c r="P42" s="4" t="s">
        <v>2619</v>
      </c>
      <c r="Q42" s="4" t="s">
        <v>2681</v>
      </c>
      <c r="R42" s="4"/>
      <c r="S42" s="4"/>
      <c r="T42" s="4" t="str">
        <f>HYPERLINK("http://slimages.macys.com/is/image/MCY/20155341 ")</f>
        <v xml:space="preserve">http://slimages.macys.com/is/image/MCY/20155341 </v>
      </c>
    </row>
    <row r="43" spans="1:20" ht="15" customHeight="1" x14ac:dyDescent="0.25">
      <c r="A43" s="4" t="s">
        <v>2489</v>
      </c>
      <c r="B43" s="2" t="s">
        <v>2487</v>
      </c>
      <c r="C43" s="2" t="s">
        <v>2488</v>
      </c>
      <c r="D43" s="5" t="s">
        <v>2490</v>
      </c>
      <c r="E43" s="4" t="s">
        <v>2491</v>
      </c>
      <c r="F43" s="6">
        <v>14203642</v>
      </c>
      <c r="G43" s="3">
        <v>14203642</v>
      </c>
      <c r="H43" s="7">
        <v>194894145333</v>
      </c>
      <c r="I43" s="8" t="s">
        <v>419</v>
      </c>
      <c r="J43" s="4">
        <v>2</v>
      </c>
      <c r="K43" s="9">
        <v>39.99</v>
      </c>
      <c r="L43" s="9">
        <v>79.98</v>
      </c>
      <c r="M43" s="4">
        <v>1954761</v>
      </c>
      <c r="N43" s="4" t="s">
        <v>2600</v>
      </c>
      <c r="O43" s="4" t="s">
        <v>2498</v>
      </c>
      <c r="P43" s="4" t="s">
        <v>2550</v>
      </c>
      <c r="Q43" s="4" t="s">
        <v>2551</v>
      </c>
      <c r="R43" s="4"/>
      <c r="S43" s="4"/>
      <c r="T43" s="4" t="str">
        <f>HYPERLINK("http://slimages.macys.com/is/image/MCY/21091368 ")</f>
        <v xml:space="preserve">http://slimages.macys.com/is/image/MCY/21091368 </v>
      </c>
    </row>
    <row r="44" spans="1:20" ht="15" customHeight="1" x14ac:dyDescent="0.25">
      <c r="A44" s="4" t="s">
        <v>2489</v>
      </c>
      <c r="B44" s="2" t="s">
        <v>2487</v>
      </c>
      <c r="C44" s="2" t="s">
        <v>2488</v>
      </c>
      <c r="D44" s="5" t="s">
        <v>2490</v>
      </c>
      <c r="E44" s="4" t="s">
        <v>2491</v>
      </c>
      <c r="F44" s="6">
        <v>14203642</v>
      </c>
      <c r="G44" s="3">
        <v>14203642</v>
      </c>
      <c r="H44" s="7">
        <v>194257596703</v>
      </c>
      <c r="I44" s="8" t="s">
        <v>420</v>
      </c>
      <c r="J44" s="4">
        <v>4</v>
      </c>
      <c r="K44" s="9">
        <v>16.989999999999998</v>
      </c>
      <c r="L44" s="9">
        <v>67.959999999999994</v>
      </c>
      <c r="M44" s="4" t="s">
        <v>3339</v>
      </c>
      <c r="N44" s="4" t="s">
        <v>2804</v>
      </c>
      <c r="O44" s="4">
        <v>4</v>
      </c>
      <c r="P44" s="4" t="s">
        <v>2499</v>
      </c>
      <c r="Q44" s="4" t="s">
        <v>2525</v>
      </c>
      <c r="R44" s="4"/>
      <c r="S44" s="4"/>
      <c r="T44" s="4" t="str">
        <f>HYPERLINK("http://slimages.macys.com/is/image/MCY/19501987 ")</f>
        <v xml:space="preserve">http://slimages.macys.com/is/image/MCY/19501987 </v>
      </c>
    </row>
    <row r="45" spans="1:20" ht="15" customHeight="1" x14ac:dyDescent="0.25">
      <c r="A45" s="4" t="s">
        <v>2489</v>
      </c>
      <c r="B45" s="2" t="s">
        <v>2487</v>
      </c>
      <c r="C45" s="2" t="s">
        <v>2488</v>
      </c>
      <c r="D45" s="5" t="s">
        <v>2490</v>
      </c>
      <c r="E45" s="4" t="s">
        <v>2491</v>
      </c>
      <c r="F45" s="6">
        <v>14203642</v>
      </c>
      <c r="G45" s="3">
        <v>14203642</v>
      </c>
      <c r="H45" s="7">
        <v>696114433614</v>
      </c>
      <c r="I45" s="8" t="s">
        <v>79</v>
      </c>
      <c r="J45" s="4">
        <v>5</v>
      </c>
      <c r="K45" s="9">
        <v>19.989999999999998</v>
      </c>
      <c r="L45" s="9">
        <v>99.95</v>
      </c>
      <c r="M45" s="4" t="s">
        <v>3051</v>
      </c>
      <c r="N45" s="4" t="s">
        <v>2508</v>
      </c>
      <c r="O45" s="4"/>
      <c r="P45" s="4" t="s">
        <v>2569</v>
      </c>
      <c r="Q45" s="4" t="s">
        <v>2732</v>
      </c>
      <c r="R45" s="4"/>
      <c r="S45" s="4"/>
      <c r="T45" s="4" t="str">
        <f>HYPERLINK("http://slimages.macys.com/is/image/MCY/20426348 ")</f>
        <v xml:space="preserve">http://slimages.macys.com/is/image/MCY/20426348 </v>
      </c>
    </row>
    <row r="46" spans="1:20" ht="15" customHeight="1" x14ac:dyDescent="0.25">
      <c r="A46" s="4" t="s">
        <v>2489</v>
      </c>
      <c r="B46" s="2" t="s">
        <v>2487</v>
      </c>
      <c r="C46" s="2" t="s">
        <v>2488</v>
      </c>
      <c r="D46" s="5" t="s">
        <v>2490</v>
      </c>
      <c r="E46" s="4" t="s">
        <v>2491</v>
      </c>
      <c r="F46" s="6">
        <v>14203642</v>
      </c>
      <c r="G46" s="3">
        <v>14203642</v>
      </c>
      <c r="H46" s="7">
        <v>807421326548</v>
      </c>
      <c r="I46" s="8" t="s">
        <v>1936</v>
      </c>
      <c r="J46" s="4">
        <v>4</v>
      </c>
      <c r="K46" s="9">
        <v>44.99</v>
      </c>
      <c r="L46" s="9">
        <v>179.96</v>
      </c>
      <c r="M46" s="4" t="s">
        <v>1937</v>
      </c>
      <c r="N46" s="4" t="s">
        <v>2526</v>
      </c>
      <c r="O46" s="4" t="s">
        <v>2555</v>
      </c>
      <c r="P46" s="4" t="s">
        <v>2499</v>
      </c>
      <c r="Q46" s="4" t="s">
        <v>3091</v>
      </c>
      <c r="R46" s="4"/>
      <c r="S46" s="4"/>
      <c r="T46" s="4" t="str">
        <f>HYPERLINK("http://slimages.macys.com/is/image/MCY/20541015 ")</f>
        <v xml:space="preserve">http://slimages.macys.com/is/image/MCY/20541015 </v>
      </c>
    </row>
    <row r="47" spans="1:20" ht="15" customHeight="1" x14ac:dyDescent="0.25">
      <c r="A47" s="4" t="s">
        <v>2489</v>
      </c>
      <c r="B47" s="2" t="s">
        <v>2487</v>
      </c>
      <c r="C47" s="2" t="s">
        <v>2488</v>
      </c>
      <c r="D47" s="5" t="s">
        <v>2490</v>
      </c>
      <c r="E47" s="4" t="s">
        <v>2491</v>
      </c>
      <c r="F47" s="6">
        <v>14203642</v>
      </c>
      <c r="G47" s="3">
        <v>14203642</v>
      </c>
      <c r="H47" s="7">
        <v>195958112315</v>
      </c>
      <c r="I47" s="8" t="s">
        <v>421</v>
      </c>
      <c r="J47" s="4">
        <v>1</v>
      </c>
      <c r="K47" s="9">
        <v>69.5</v>
      </c>
      <c r="L47" s="9">
        <v>69.5</v>
      </c>
      <c r="M47" s="4" t="s">
        <v>422</v>
      </c>
      <c r="N47" s="4" t="s">
        <v>2501</v>
      </c>
      <c r="O47" s="4" t="s">
        <v>2705</v>
      </c>
      <c r="P47" s="4" t="s">
        <v>2714</v>
      </c>
      <c r="Q47" s="4" t="s">
        <v>2715</v>
      </c>
      <c r="R47" s="4"/>
      <c r="S47" s="4"/>
      <c r="T47" s="4" t="str">
        <f>HYPERLINK("http://slimages.macys.com/is/image/MCY/19902833 ")</f>
        <v xml:space="preserve">http://slimages.macys.com/is/image/MCY/19902833 </v>
      </c>
    </row>
    <row r="48" spans="1:20" ht="15" customHeight="1" x14ac:dyDescent="0.25">
      <c r="A48" s="4" t="s">
        <v>2489</v>
      </c>
      <c r="B48" s="2" t="s">
        <v>2487</v>
      </c>
      <c r="C48" s="2" t="s">
        <v>2488</v>
      </c>
      <c r="D48" s="5" t="s">
        <v>2490</v>
      </c>
      <c r="E48" s="4" t="s">
        <v>2491</v>
      </c>
      <c r="F48" s="6">
        <v>14203642</v>
      </c>
      <c r="G48" s="3">
        <v>14203642</v>
      </c>
      <c r="H48" s="7">
        <v>733003642778</v>
      </c>
      <c r="I48" s="8" t="s">
        <v>2114</v>
      </c>
      <c r="J48" s="4">
        <v>8</v>
      </c>
      <c r="K48" s="9">
        <v>22.99</v>
      </c>
      <c r="L48" s="9">
        <v>183.92</v>
      </c>
      <c r="M48" s="4" t="s">
        <v>2529</v>
      </c>
      <c r="N48" s="4" t="s">
        <v>2530</v>
      </c>
      <c r="O48" s="4" t="s">
        <v>2555</v>
      </c>
      <c r="P48" s="4" t="s">
        <v>2515</v>
      </c>
      <c r="Q48" s="4" t="s">
        <v>2516</v>
      </c>
      <c r="R48" s="4"/>
      <c r="S48" s="4"/>
      <c r="T48" s="4" t="str">
        <f>HYPERLINK("http://slimages.macys.com/is/image/MCY/20008078 ")</f>
        <v xml:space="preserve">http://slimages.macys.com/is/image/MCY/20008078 </v>
      </c>
    </row>
    <row r="49" spans="1:20" ht="15" customHeight="1" x14ac:dyDescent="0.25">
      <c r="A49" s="4" t="s">
        <v>2489</v>
      </c>
      <c r="B49" s="2" t="s">
        <v>2487</v>
      </c>
      <c r="C49" s="2" t="s">
        <v>2488</v>
      </c>
      <c r="D49" s="5" t="s">
        <v>2490</v>
      </c>
      <c r="E49" s="4" t="s">
        <v>2491</v>
      </c>
      <c r="F49" s="6">
        <v>14203642</v>
      </c>
      <c r="G49" s="3">
        <v>14203642</v>
      </c>
      <c r="H49" s="7">
        <v>733004763281</v>
      </c>
      <c r="I49" s="8" t="s">
        <v>423</v>
      </c>
      <c r="J49" s="4">
        <v>7</v>
      </c>
      <c r="K49" s="9">
        <v>19.989999999999998</v>
      </c>
      <c r="L49" s="9">
        <v>139.93</v>
      </c>
      <c r="M49" s="4" t="s">
        <v>2713</v>
      </c>
      <c r="N49" s="4" t="s">
        <v>2758</v>
      </c>
      <c r="O49" s="4" t="s">
        <v>2629</v>
      </c>
      <c r="P49" s="4" t="s">
        <v>2515</v>
      </c>
      <c r="Q49" s="4" t="s">
        <v>2672</v>
      </c>
      <c r="R49" s="4"/>
      <c r="S49" s="4"/>
      <c r="T49" s="4" t="str">
        <f>HYPERLINK("http://slimages.macys.com/is/image/MCY/20530858 ")</f>
        <v xml:space="preserve">http://slimages.macys.com/is/image/MCY/20530858 </v>
      </c>
    </row>
    <row r="50" spans="1:20" ht="15" customHeight="1" x14ac:dyDescent="0.25">
      <c r="A50" s="4" t="s">
        <v>2489</v>
      </c>
      <c r="B50" s="2" t="s">
        <v>2487</v>
      </c>
      <c r="C50" s="2" t="s">
        <v>2488</v>
      </c>
      <c r="D50" s="5" t="s">
        <v>2490</v>
      </c>
      <c r="E50" s="4" t="s">
        <v>2491</v>
      </c>
      <c r="F50" s="6">
        <v>14203642</v>
      </c>
      <c r="G50" s="3">
        <v>14203642</v>
      </c>
      <c r="H50" s="7">
        <v>194870823729</v>
      </c>
      <c r="I50" s="8" t="s">
        <v>424</v>
      </c>
      <c r="J50" s="4">
        <v>11</v>
      </c>
      <c r="K50" s="9">
        <v>37.99</v>
      </c>
      <c r="L50" s="9">
        <v>417.89</v>
      </c>
      <c r="M50" s="4" t="s">
        <v>3102</v>
      </c>
      <c r="N50" s="4" t="s">
        <v>2805</v>
      </c>
      <c r="O50" s="4"/>
      <c r="P50" s="4" t="s">
        <v>2619</v>
      </c>
      <c r="Q50" s="4" t="s">
        <v>2681</v>
      </c>
      <c r="R50" s="4"/>
      <c r="S50" s="4"/>
      <c r="T50" s="4" t="str">
        <f>HYPERLINK("http://slimages.macys.com/is/image/MCY/20155341 ")</f>
        <v xml:space="preserve">http://slimages.macys.com/is/image/MCY/20155341 </v>
      </c>
    </row>
    <row r="51" spans="1:20" ht="15" customHeight="1" x14ac:dyDescent="0.25">
      <c r="A51" s="4" t="s">
        <v>2489</v>
      </c>
      <c r="B51" s="2" t="s">
        <v>2487</v>
      </c>
      <c r="C51" s="2" t="s">
        <v>2488</v>
      </c>
      <c r="D51" s="5" t="s">
        <v>2490</v>
      </c>
      <c r="E51" s="4" t="s">
        <v>2491</v>
      </c>
      <c r="F51" s="6">
        <v>14203642</v>
      </c>
      <c r="G51" s="3">
        <v>14203642</v>
      </c>
      <c r="H51" s="7">
        <v>840144218844</v>
      </c>
      <c r="I51" s="8" t="s">
        <v>1921</v>
      </c>
      <c r="J51" s="4">
        <v>6</v>
      </c>
      <c r="K51" s="9">
        <v>12.99</v>
      </c>
      <c r="L51" s="9">
        <v>77.94</v>
      </c>
      <c r="M51" s="4" t="s">
        <v>1922</v>
      </c>
      <c r="N51" s="4"/>
      <c r="O51" s="4" t="s">
        <v>2669</v>
      </c>
      <c r="P51" s="4" t="s">
        <v>2539</v>
      </c>
      <c r="Q51" s="4" t="s">
        <v>2670</v>
      </c>
      <c r="R51" s="4"/>
      <c r="S51" s="4"/>
      <c r="T51" s="4" t="str">
        <f>HYPERLINK("http://slimages.macys.com/is/image/MCY/20138284 ")</f>
        <v xml:space="preserve">http://slimages.macys.com/is/image/MCY/20138284 </v>
      </c>
    </row>
    <row r="52" spans="1:20" ht="15" customHeight="1" x14ac:dyDescent="0.25">
      <c r="A52" s="4" t="s">
        <v>2489</v>
      </c>
      <c r="B52" s="2" t="s">
        <v>2487</v>
      </c>
      <c r="C52" s="2" t="s">
        <v>2488</v>
      </c>
      <c r="D52" s="5" t="s">
        <v>2490</v>
      </c>
      <c r="E52" s="4" t="s">
        <v>2491</v>
      </c>
      <c r="F52" s="6">
        <v>14203642</v>
      </c>
      <c r="G52" s="3">
        <v>14203642</v>
      </c>
      <c r="H52" s="7">
        <v>195958201040</v>
      </c>
      <c r="I52" s="8" t="s">
        <v>425</v>
      </c>
      <c r="J52" s="4">
        <v>1</v>
      </c>
      <c r="K52" s="9">
        <v>37.5</v>
      </c>
      <c r="L52" s="9">
        <v>37.5</v>
      </c>
      <c r="M52" s="4" t="s">
        <v>411</v>
      </c>
      <c r="N52" s="4" t="s">
        <v>2505</v>
      </c>
      <c r="O52" s="4">
        <v>6</v>
      </c>
      <c r="P52" s="4" t="s">
        <v>2876</v>
      </c>
      <c r="Q52" s="4" t="s">
        <v>2877</v>
      </c>
      <c r="R52" s="4"/>
      <c r="S52" s="4"/>
      <c r="T52" s="4" t="str">
        <f>HYPERLINK("http://slimages.macys.com/is/image/MCY/20006171 ")</f>
        <v xml:space="preserve">http://slimages.macys.com/is/image/MCY/20006171 </v>
      </c>
    </row>
    <row r="53" spans="1:20" ht="15" customHeight="1" x14ac:dyDescent="0.25">
      <c r="A53" s="4" t="s">
        <v>2489</v>
      </c>
      <c r="B53" s="2" t="s">
        <v>2487</v>
      </c>
      <c r="C53" s="2" t="s">
        <v>2488</v>
      </c>
      <c r="D53" s="5" t="s">
        <v>2490</v>
      </c>
      <c r="E53" s="4" t="s">
        <v>2491</v>
      </c>
      <c r="F53" s="6">
        <v>14203642</v>
      </c>
      <c r="G53" s="3">
        <v>14203642</v>
      </c>
      <c r="H53" s="7">
        <v>194870823835</v>
      </c>
      <c r="I53" s="8" t="s">
        <v>426</v>
      </c>
      <c r="J53" s="4">
        <v>6</v>
      </c>
      <c r="K53" s="9">
        <v>37.99</v>
      </c>
      <c r="L53" s="9">
        <v>227.94</v>
      </c>
      <c r="M53" s="4" t="s">
        <v>3102</v>
      </c>
      <c r="N53" s="4" t="s">
        <v>2497</v>
      </c>
      <c r="O53" s="4"/>
      <c r="P53" s="4" t="s">
        <v>2619</v>
      </c>
      <c r="Q53" s="4" t="s">
        <v>2681</v>
      </c>
      <c r="R53" s="4"/>
      <c r="S53" s="4"/>
      <c r="T53" s="4" t="str">
        <f>HYPERLINK("http://slimages.macys.com/is/image/MCY/20155341 ")</f>
        <v xml:space="preserve">http://slimages.macys.com/is/image/MCY/20155341 </v>
      </c>
    </row>
    <row r="54" spans="1:20" ht="15" customHeight="1" x14ac:dyDescent="0.25">
      <c r="A54" s="4" t="s">
        <v>2489</v>
      </c>
      <c r="B54" s="2" t="s">
        <v>2487</v>
      </c>
      <c r="C54" s="2" t="s">
        <v>2488</v>
      </c>
      <c r="D54" s="5" t="s">
        <v>2490</v>
      </c>
      <c r="E54" s="4" t="s">
        <v>2491</v>
      </c>
      <c r="F54" s="6">
        <v>14203642</v>
      </c>
      <c r="G54" s="3">
        <v>14203642</v>
      </c>
      <c r="H54" s="7">
        <v>733004297748</v>
      </c>
      <c r="I54" s="8" t="s">
        <v>427</v>
      </c>
      <c r="J54" s="4">
        <v>11</v>
      </c>
      <c r="K54" s="9">
        <v>27.99</v>
      </c>
      <c r="L54" s="9">
        <v>307.89</v>
      </c>
      <c r="M54" s="4" t="s">
        <v>2949</v>
      </c>
      <c r="N54" s="4" t="s">
        <v>2600</v>
      </c>
      <c r="O54" s="4" t="s">
        <v>2519</v>
      </c>
      <c r="P54" s="4" t="s">
        <v>2515</v>
      </c>
      <c r="Q54" s="4" t="s">
        <v>2672</v>
      </c>
      <c r="R54" s="4"/>
      <c r="S54" s="4"/>
      <c r="T54" s="4" t="str">
        <f>HYPERLINK("http://slimages.macys.com/is/image/MCY/20143278 ")</f>
        <v xml:space="preserve">http://slimages.macys.com/is/image/MCY/20143278 </v>
      </c>
    </row>
    <row r="55" spans="1:20" ht="15" customHeight="1" x14ac:dyDescent="0.25">
      <c r="A55" s="4" t="s">
        <v>2489</v>
      </c>
      <c r="B55" s="2" t="s">
        <v>2487</v>
      </c>
      <c r="C55" s="2" t="s">
        <v>2488</v>
      </c>
      <c r="D55" s="5" t="s">
        <v>2490</v>
      </c>
      <c r="E55" s="4" t="s">
        <v>2491</v>
      </c>
      <c r="F55" s="6">
        <v>14203642</v>
      </c>
      <c r="G55" s="3">
        <v>14203642</v>
      </c>
      <c r="H55" s="7">
        <v>196027059548</v>
      </c>
      <c r="I55" s="8" t="s">
        <v>3168</v>
      </c>
      <c r="J55" s="4">
        <v>12</v>
      </c>
      <c r="K55" s="9">
        <v>19.989999999999998</v>
      </c>
      <c r="L55" s="9">
        <v>239.88</v>
      </c>
      <c r="M55" s="4" t="s">
        <v>3169</v>
      </c>
      <c r="N55" s="4" t="s">
        <v>2544</v>
      </c>
      <c r="O55" s="4">
        <v>4</v>
      </c>
      <c r="P55" s="4" t="s">
        <v>2569</v>
      </c>
      <c r="Q55" s="4" t="s">
        <v>2590</v>
      </c>
      <c r="R55" s="4"/>
      <c r="S55" s="4"/>
      <c r="T55" s="4" t="str">
        <f>HYPERLINK("http://slimages.macys.com/is/image/MCY/20662533 ")</f>
        <v xml:space="preserve">http://slimages.macys.com/is/image/MCY/20662533 </v>
      </c>
    </row>
    <row r="56" spans="1:20" ht="15" customHeight="1" x14ac:dyDescent="0.25">
      <c r="A56" s="4" t="s">
        <v>2489</v>
      </c>
      <c r="B56" s="2" t="s">
        <v>2487</v>
      </c>
      <c r="C56" s="2" t="s">
        <v>2488</v>
      </c>
      <c r="D56" s="5" t="s">
        <v>2490</v>
      </c>
      <c r="E56" s="4" t="s">
        <v>2491</v>
      </c>
      <c r="F56" s="6">
        <v>14203642</v>
      </c>
      <c r="G56" s="3">
        <v>14203642</v>
      </c>
      <c r="H56" s="7">
        <v>889799981437</v>
      </c>
      <c r="I56" s="8" t="s">
        <v>2129</v>
      </c>
      <c r="J56" s="4">
        <v>24</v>
      </c>
      <c r="K56" s="9">
        <v>17.989999999999998</v>
      </c>
      <c r="L56" s="9">
        <v>431.76</v>
      </c>
      <c r="M56" s="4" t="s">
        <v>1949</v>
      </c>
      <c r="N56" s="4" t="s">
        <v>2544</v>
      </c>
      <c r="O56" s="4" t="s">
        <v>2524</v>
      </c>
      <c r="P56" s="4" t="s">
        <v>2569</v>
      </c>
      <c r="Q56" s="4" t="s">
        <v>2570</v>
      </c>
      <c r="R56" s="4"/>
      <c r="S56" s="4"/>
      <c r="T56" s="4" t="str">
        <f>HYPERLINK("http://slimages.macys.com/is/image/MCY/20145302 ")</f>
        <v xml:space="preserve">http://slimages.macys.com/is/image/MCY/20145302 </v>
      </c>
    </row>
    <row r="57" spans="1:20" ht="15" customHeight="1" x14ac:dyDescent="0.25">
      <c r="A57" s="4" t="s">
        <v>2489</v>
      </c>
      <c r="B57" s="2" t="s">
        <v>2487</v>
      </c>
      <c r="C57" s="2" t="s">
        <v>2488</v>
      </c>
      <c r="D57" s="5" t="s">
        <v>2490</v>
      </c>
      <c r="E57" s="4" t="s">
        <v>2491</v>
      </c>
      <c r="F57" s="6">
        <v>14203642</v>
      </c>
      <c r="G57" s="3">
        <v>14203642</v>
      </c>
      <c r="H57" s="7">
        <v>80538129862</v>
      </c>
      <c r="I57" s="8" t="s">
        <v>2986</v>
      </c>
      <c r="J57" s="4">
        <v>17</v>
      </c>
      <c r="K57" s="9">
        <v>12.99</v>
      </c>
      <c r="L57" s="9">
        <v>220.83</v>
      </c>
      <c r="M57" s="4" t="s">
        <v>2987</v>
      </c>
      <c r="N57" s="4" t="s">
        <v>2567</v>
      </c>
      <c r="O57" s="4" t="s">
        <v>2930</v>
      </c>
      <c r="P57" s="4" t="s">
        <v>2666</v>
      </c>
      <c r="Q57" s="4" t="s">
        <v>2778</v>
      </c>
      <c r="R57" s="4"/>
      <c r="S57" s="4"/>
      <c r="T57" s="4" t="str">
        <f>HYPERLINK("http://slimages.macys.com/is/image/MCY/20052304 ")</f>
        <v xml:space="preserve">http://slimages.macys.com/is/image/MCY/20052304 </v>
      </c>
    </row>
    <row r="58" spans="1:20" ht="15" customHeight="1" x14ac:dyDescent="0.25">
      <c r="A58" s="4" t="s">
        <v>2489</v>
      </c>
      <c r="B58" s="2" t="s">
        <v>2487</v>
      </c>
      <c r="C58" s="2" t="s">
        <v>2488</v>
      </c>
      <c r="D58" s="5" t="s">
        <v>2490</v>
      </c>
      <c r="E58" s="4" t="s">
        <v>2491</v>
      </c>
      <c r="F58" s="6">
        <v>14203642</v>
      </c>
      <c r="G58" s="3">
        <v>14203642</v>
      </c>
      <c r="H58" s="7">
        <v>677838998467</v>
      </c>
      <c r="I58" s="8" t="s">
        <v>428</v>
      </c>
      <c r="J58" s="4">
        <v>2</v>
      </c>
      <c r="K58" s="9">
        <v>14.99</v>
      </c>
      <c r="L58" s="9">
        <v>29.98</v>
      </c>
      <c r="M58" s="4" t="s">
        <v>429</v>
      </c>
      <c r="N58" s="4" t="s">
        <v>2739</v>
      </c>
      <c r="O58" s="4">
        <v>7</v>
      </c>
      <c r="P58" s="4" t="s">
        <v>2499</v>
      </c>
      <c r="Q58" s="4" t="s">
        <v>3093</v>
      </c>
      <c r="R58" s="4"/>
      <c r="S58" s="4"/>
      <c r="T58" s="4" t="str">
        <f>HYPERLINK("http://slimages.macys.com/is/image/MCY/18539243 ")</f>
        <v xml:space="preserve">http://slimages.macys.com/is/image/MCY/18539243 </v>
      </c>
    </row>
    <row r="59" spans="1:20" ht="15" customHeight="1" x14ac:dyDescent="0.25">
      <c r="A59" s="4" t="s">
        <v>2489</v>
      </c>
      <c r="B59" s="2" t="s">
        <v>2487</v>
      </c>
      <c r="C59" s="2" t="s">
        <v>2488</v>
      </c>
      <c r="D59" s="5" t="s">
        <v>2490</v>
      </c>
      <c r="E59" s="4" t="s">
        <v>2491</v>
      </c>
      <c r="F59" s="6">
        <v>14203642</v>
      </c>
      <c r="G59" s="3">
        <v>14203642</v>
      </c>
      <c r="H59" s="7">
        <v>196027055519</v>
      </c>
      <c r="I59" s="8" t="s">
        <v>1680</v>
      </c>
      <c r="J59" s="4">
        <v>4</v>
      </c>
      <c r="K59" s="9">
        <v>30.99</v>
      </c>
      <c r="L59" s="9">
        <v>123.96</v>
      </c>
      <c r="M59" s="4" t="s">
        <v>1681</v>
      </c>
      <c r="N59" s="4" t="s">
        <v>2544</v>
      </c>
      <c r="O59" s="4">
        <v>8</v>
      </c>
      <c r="P59" s="4" t="s">
        <v>2569</v>
      </c>
      <c r="Q59" s="4" t="s">
        <v>2590</v>
      </c>
      <c r="R59" s="4"/>
      <c r="S59" s="4"/>
      <c r="T59" s="4" t="str">
        <f>HYPERLINK("http://slimages.macys.com/is/image/MCY/20662525 ")</f>
        <v xml:space="preserve">http://slimages.macys.com/is/image/MCY/20662525 </v>
      </c>
    </row>
    <row r="60" spans="1:20" ht="15" customHeight="1" x14ac:dyDescent="0.25">
      <c r="A60" s="4" t="s">
        <v>2489</v>
      </c>
      <c r="B60" s="2" t="s">
        <v>2487</v>
      </c>
      <c r="C60" s="2" t="s">
        <v>2488</v>
      </c>
      <c r="D60" s="5" t="s">
        <v>2490</v>
      </c>
      <c r="E60" s="4" t="s">
        <v>2491</v>
      </c>
      <c r="F60" s="6">
        <v>14203642</v>
      </c>
      <c r="G60" s="3">
        <v>14203642</v>
      </c>
      <c r="H60" s="7">
        <v>194870507544</v>
      </c>
      <c r="I60" s="8" t="s">
        <v>430</v>
      </c>
      <c r="J60" s="4">
        <v>15</v>
      </c>
      <c r="K60" s="9">
        <v>24.99</v>
      </c>
      <c r="L60" s="9">
        <v>374.85</v>
      </c>
      <c r="M60" s="4" t="s">
        <v>2966</v>
      </c>
      <c r="N60" s="4" t="s">
        <v>2728</v>
      </c>
      <c r="O60" s="4" t="s">
        <v>2532</v>
      </c>
      <c r="P60" s="4" t="s">
        <v>2499</v>
      </c>
      <c r="Q60" s="4" t="s">
        <v>2694</v>
      </c>
      <c r="R60" s="4"/>
      <c r="S60" s="4"/>
      <c r="T60" s="4" t="str">
        <f>HYPERLINK("http://slimages.macys.com/is/image/MCY/19458564 ")</f>
        <v xml:space="preserve">http://slimages.macys.com/is/image/MCY/19458564 </v>
      </c>
    </row>
    <row r="61" spans="1:20" ht="15" customHeight="1" x14ac:dyDescent="0.25">
      <c r="A61" s="4" t="s">
        <v>2489</v>
      </c>
      <c r="B61" s="2" t="s">
        <v>2487</v>
      </c>
      <c r="C61" s="2" t="s">
        <v>2488</v>
      </c>
      <c r="D61" s="5" t="s">
        <v>2490</v>
      </c>
      <c r="E61" s="4" t="s">
        <v>2491</v>
      </c>
      <c r="F61" s="6">
        <v>14203642</v>
      </c>
      <c r="G61" s="3">
        <v>14203642</v>
      </c>
      <c r="H61" s="7">
        <v>80538129909</v>
      </c>
      <c r="I61" s="8" t="s">
        <v>1972</v>
      </c>
      <c r="J61" s="4">
        <v>1</v>
      </c>
      <c r="K61" s="9">
        <v>12.99</v>
      </c>
      <c r="L61" s="9">
        <v>12.99</v>
      </c>
      <c r="M61" s="4" t="s">
        <v>2987</v>
      </c>
      <c r="N61" s="4" t="s">
        <v>2567</v>
      </c>
      <c r="O61" s="10">
        <v>45085</v>
      </c>
      <c r="P61" s="4" t="s">
        <v>2666</v>
      </c>
      <c r="Q61" s="4" t="s">
        <v>2778</v>
      </c>
      <c r="R61" s="4"/>
      <c r="S61" s="4"/>
      <c r="T61" s="4" t="str">
        <f>HYPERLINK("http://slimages.macys.com/is/image/MCY/20052304 ")</f>
        <v xml:space="preserve">http://slimages.macys.com/is/image/MCY/20052304 </v>
      </c>
    </row>
    <row r="62" spans="1:20" ht="15" customHeight="1" x14ac:dyDescent="0.25">
      <c r="A62" s="4" t="s">
        <v>2489</v>
      </c>
      <c r="B62" s="2" t="s">
        <v>2487</v>
      </c>
      <c r="C62" s="2" t="s">
        <v>2488</v>
      </c>
      <c r="D62" s="5" t="s">
        <v>2490</v>
      </c>
      <c r="E62" s="4" t="s">
        <v>2491</v>
      </c>
      <c r="F62" s="6">
        <v>14203642</v>
      </c>
      <c r="G62" s="3">
        <v>14203642</v>
      </c>
      <c r="H62" s="7">
        <v>696114436653</v>
      </c>
      <c r="I62" s="8" t="s">
        <v>431</v>
      </c>
      <c r="J62" s="4">
        <v>7</v>
      </c>
      <c r="K62" s="9">
        <v>13.99</v>
      </c>
      <c r="L62" s="9">
        <v>97.93</v>
      </c>
      <c r="M62" s="4" t="s">
        <v>2875</v>
      </c>
      <c r="N62" s="4" t="s">
        <v>2501</v>
      </c>
      <c r="O62" s="4"/>
      <c r="P62" s="4" t="s">
        <v>2569</v>
      </c>
      <c r="Q62" s="4" t="s">
        <v>2679</v>
      </c>
      <c r="R62" s="4"/>
      <c r="S62" s="4"/>
      <c r="T62" s="4" t="str">
        <f>HYPERLINK("http://slimages.macys.com/is/image/MCY/20604755 ")</f>
        <v xml:space="preserve">http://slimages.macys.com/is/image/MCY/20604755 </v>
      </c>
    </row>
    <row r="63" spans="1:20" ht="15" customHeight="1" x14ac:dyDescent="0.25">
      <c r="A63" s="4" t="s">
        <v>2489</v>
      </c>
      <c r="B63" s="2" t="s">
        <v>2487</v>
      </c>
      <c r="C63" s="2" t="s">
        <v>2488</v>
      </c>
      <c r="D63" s="5" t="s">
        <v>2490</v>
      </c>
      <c r="E63" s="4" t="s">
        <v>2491</v>
      </c>
      <c r="F63" s="6">
        <v>14203642</v>
      </c>
      <c r="G63" s="3">
        <v>14203642</v>
      </c>
      <c r="H63" s="7">
        <v>733003643799</v>
      </c>
      <c r="I63" s="8" t="s">
        <v>432</v>
      </c>
      <c r="J63" s="4">
        <v>6</v>
      </c>
      <c r="K63" s="9">
        <v>18.989999999999998</v>
      </c>
      <c r="L63" s="9">
        <v>113.94</v>
      </c>
      <c r="M63" s="4" t="s">
        <v>3071</v>
      </c>
      <c r="N63" s="4" t="s">
        <v>2530</v>
      </c>
      <c r="O63" s="4">
        <v>5</v>
      </c>
      <c r="P63" s="4" t="s">
        <v>2515</v>
      </c>
      <c r="Q63" s="4" t="s">
        <v>2972</v>
      </c>
      <c r="R63" s="4"/>
      <c r="S63" s="4"/>
      <c r="T63" s="4" t="str">
        <f>HYPERLINK("http://slimages.macys.com/is/image/MCY/20008168 ")</f>
        <v xml:space="preserve">http://slimages.macys.com/is/image/MCY/20008168 </v>
      </c>
    </row>
    <row r="64" spans="1:20" ht="15" customHeight="1" x14ac:dyDescent="0.25">
      <c r="A64" s="4" t="s">
        <v>2489</v>
      </c>
      <c r="B64" s="2" t="s">
        <v>2487</v>
      </c>
      <c r="C64" s="2" t="s">
        <v>2488</v>
      </c>
      <c r="D64" s="5" t="s">
        <v>2490</v>
      </c>
      <c r="E64" s="4" t="s">
        <v>2491</v>
      </c>
      <c r="F64" s="6">
        <v>14203642</v>
      </c>
      <c r="G64" s="3">
        <v>14203642</v>
      </c>
      <c r="H64" s="7">
        <v>733004763304</v>
      </c>
      <c r="I64" s="8" t="s">
        <v>433</v>
      </c>
      <c r="J64" s="4">
        <v>17</v>
      </c>
      <c r="K64" s="9">
        <v>19.989999999999998</v>
      </c>
      <c r="L64" s="9">
        <v>339.83</v>
      </c>
      <c r="M64" s="4" t="s">
        <v>2713</v>
      </c>
      <c r="N64" s="4" t="s">
        <v>2758</v>
      </c>
      <c r="O64" s="4" t="s">
        <v>2653</v>
      </c>
      <c r="P64" s="4" t="s">
        <v>2515</v>
      </c>
      <c r="Q64" s="4" t="s">
        <v>2672</v>
      </c>
      <c r="R64" s="4"/>
      <c r="S64" s="4"/>
      <c r="T64" s="4" t="str">
        <f>HYPERLINK("http://slimages.macys.com/is/image/MCY/20530858 ")</f>
        <v xml:space="preserve">http://slimages.macys.com/is/image/MCY/20530858 </v>
      </c>
    </row>
    <row r="65" spans="1:20" ht="15" customHeight="1" x14ac:dyDescent="0.25">
      <c r="A65" s="4" t="s">
        <v>2489</v>
      </c>
      <c r="B65" s="2" t="s">
        <v>2487</v>
      </c>
      <c r="C65" s="2" t="s">
        <v>2488</v>
      </c>
      <c r="D65" s="5" t="s">
        <v>2490</v>
      </c>
      <c r="E65" s="4" t="s">
        <v>2491</v>
      </c>
      <c r="F65" s="6">
        <v>14203642</v>
      </c>
      <c r="G65" s="3">
        <v>14203642</v>
      </c>
      <c r="H65" s="7">
        <v>889799955124</v>
      </c>
      <c r="I65" s="8" t="s">
        <v>434</v>
      </c>
      <c r="J65" s="4">
        <v>1</v>
      </c>
      <c r="K65" s="9">
        <v>27.99</v>
      </c>
      <c r="L65" s="9">
        <v>27.99</v>
      </c>
      <c r="M65" s="4" t="s">
        <v>2431</v>
      </c>
      <c r="N65" s="4" t="s">
        <v>2544</v>
      </c>
      <c r="O65" s="4">
        <v>6</v>
      </c>
      <c r="P65" s="4" t="s">
        <v>2569</v>
      </c>
      <c r="Q65" s="4" t="s">
        <v>2570</v>
      </c>
      <c r="R65" s="4"/>
      <c r="S65" s="4"/>
      <c r="T65" s="4" t="str">
        <f>HYPERLINK("http://slimages.macys.com/is/image/MCY/20662511 ")</f>
        <v xml:space="preserve">http://slimages.macys.com/is/image/MCY/20662511 </v>
      </c>
    </row>
    <row r="66" spans="1:20" ht="15" customHeight="1" x14ac:dyDescent="0.25">
      <c r="A66" s="4" t="s">
        <v>2489</v>
      </c>
      <c r="B66" s="2" t="s">
        <v>2487</v>
      </c>
      <c r="C66" s="2" t="s">
        <v>2488</v>
      </c>
      <c r="D66" s="5" t="s">
        <v>2490</v>
      </c>
      <c r="E66" s="4" t="s">
        <v>2491</v>
      </c>
      <c r="F66" s="6">
        <v>14203642</v>
      </c>
      <c r="G66" s="3">
        <v>14203642</v>
      </c>
      <c r="H66" s="7">
        <v>196027095201</v>
      </c>
      <c r="I66" s="8" t="s">
        <v>87</v>
      </c>
      <c r="J66" s="4">
        <v>9</v>
      </c>
      <c r="K66" s="9">
        <v>29.99</v>
      </c>
      <c r="L66" s="9">
        <v>269.91000000000003</v>
      </c>
      <c r="M66" s="4" t="s">
        <v>3451</v>
      </c>
      <c r="N66" s="4" t="s">
        <v>2544</v>
      </c>
      <c r="O66" s="10">
        <v>45084</v>
      </c>
      <c r="P66" s="4" t="s">
        <v>2569</v>
      </c>
      <c r="Q66" s="4" t="s">
        <v>2898</v>
      </c>
      <c r="R66" s="4"/>
      <c r="S66" s="4"/>
      <c r="T66" s="4" t="str">
        <f>HYPERLINK("http://slimages.macys.com/is/image/MCY/20750300 ")</f>
        <v xml:space="preserve">http://slimages.macys.com/is/image/MCY/20750300 </v>
      </c>
    </row>
    <row r="67" spans="1:20" ht="15" customHeight="1" x14ac:dyDescent="0.25">
      <c r="A67" s="4" t="s">
        <v>2489</v>
      </c>
      <c r="B67" s="2" t="s">
        <v>2487</v>
      </c>
      <c r="C67" s="2" t="s">
        <v>2488</v>
      </c>
      <c r="D67" s="5" t="s">
        <v>2490</v>
      </c>
      <c r="E67" s="4" t="s">
        <v>2491</v>
      </c>
      <c r="F67" s="6">
        <v>14203642</v>
      </c>
      <c r="G67" s="3">
        <v>14203642</v>
      </c>
      <c r="H67" s="7">
        <v>193666735925</v>
      </c>
      <c r="I67" s="8" t="s">
        <v>435</v>
      </c>
      <c r="J67" s="4">
        <v>26</v>
      </c>
      <c r="K67" s="9">
        <v>14.99</v>
      </c>
      <c r="L67" s="9">
        <v>389.74</v>
      </c>
      <c r="M67" s="4">
        <v>5146</v>
      </c>
      <c r="N67" s="4" t="s">
        <v>2508</v>
      </c>
      <c r="O67" s="4"/>
      <c r="P67" s="4" t="s">
        <v>2666</v>
      </c>
      <c r="Q67" s="4" t="s">
        <v>2677</v>
      </c>
      <c r="R67" s="4" t="s">
        <v>2552</v>
      </c>
      <c r="S67" s="4" t="s">
        <v>2593</v>
      </c>
      <c r="T67" s="4" t="str">
        <f>HYPERLINK("http://slimages.macys.com/is/image/MCY/17906940 ")</f>
        <v xml:space="preserve">http://slimages.macys.com/is/image/MCY/17906940 </v>
      </c>
    </row>
    <row r="68" spans="1:20" ht="15" customHeight="1" x14ac:dyDescent="0.25">
      <c r="A68" s="4" t="s">
        <v>2489</v>
      </c>
      <c r="B68" s="2" t="s">
        <v>2487</v>
      </c>
      <c r="C68" s="2" t="s">
        <v>2488</v>
      </c>
      <c r="D68" s="5" t="s">
        <v>2490</v>
      </c>
      <c r="E68" s="4" t="s">
        <v>2491</v>
      </c>
      <c r="F68" s="6">
        <v>14203642</v>
      </c>
      <c r="G68" s="3">
        <v>14203642</v>
      </c>
      <c r="H68" s="7">
        <v>196027095102</v>
      </c>
      <c r="I68" s="8" t="s">
        <v>2133</v>
      </c>
      <c r="J68" s="4">
        <v>23</v>
      </c>
      <c r="K68" s="9">
        <v>25.99</v>
      </c>
      <c r="L68" s="9">
        <v>597.77</v>
      </c>
      <c r="M68" s="4" t="s">
        <v>2103</v>
      </c>
      <c r="N68" s="4" t="s">
        <v>2544</v>
      </c>
      <c r="O68" s="4" t="s">
        <v>2587</v>
      </c>
      <c r="P68" s="4" t="s">
        <v>2569</v>
      </c>
      <c r="Q68" s="4" t="s">
        <v>2755</v>
      </c>
      <c r="R68" s="4"/>
      <c r="S68" s="4"/>
      <c r="T68" s="4" t="str">
        <f>HYPERLINK("http://slimages.macys.com/is/image/MCY/20750287 ")</f>
        <v xml:space="preserve">http://slimages.macys.com/is/image/MCY/20750287 </v>
      </c>
    </row>
    <row r="69" spans="1:20" ht="15" customHeight="1" x14ac:dyDescent="0.25">
      <c r="A69" s="4" t="s">
        <v>2489</v>
      </c>
      <c r="B69" s="2" t="s">
        <v>2487</v>
      </c>
      <c r="C69" s="2" t="s">
        <v>2488</v>
      </c>
      <c r="D69" s="5" t="s">
        <v>2490</v>
      </c>
      <c r="E69" s="4" t="s">
        <v>2491</v>
      </c>
      <c r="F69" s="6">
        <v>14203642</v>
      </c>
      <c r="G69" s="3">
        <v>14203642</v>
      </c>
      <c r="H69" s="7">
        <v>677838668926</v>
      </c>
      <c r="I69" s="8" t="s">
        <v>1213</v>
      </c>
      <c r="J69" s="4">
        <v>4</v>
      </c>
      <c r="K69" s="9">
        <v>56.25</v>
      </c>
      <c r="L69" s="9">
        <v>225</v>
      </c>
      <c r="M69" s="4" t="s">
        <v>2019</v>
      </c>
      <c r="N69" s="4" t="s">
        <v>2501</v>
      </c>
      <c r="O69" s="4" t="s">
        <v>2705</v>
      </c>
      <c r="P69" s="4" t="s">
        <v>2619</v>
      </c>
      <c r="Q69" s="4" t="s">
        <v>2733</v>
      </c>
      <c r="R69" s="4"/>
      <c r="S69" s="4"/>
      <c r="T69" s="4" t="str">
        <f>HYPERLINK("http://slimages.macys.com/is/image/MCY/20047839 ")</f>
        <v xml:space="preserve">http://slimages.macys.com/is/image/MCY/20047839 </v>
      </c>
    </row>
    <row r="70" spans="1:20" ht="15" customHeight="1" x14ac:dyDescent="0.25">
      <c r="A70" s="4" t="s">
        <v>2489</v>
      </c>
      <c r="B70" s="2" t="s">
        <v>2487</v>
      </c>
      <c r="C70" s="2" t="s">
        <v>2488</v>
      </c>
      <c r="D70" s="5" t="s">
        <v>2490</v>
      </c>
      <c r="E70" s="4" t="s">
        <v>2491</v>
      </c>
      <c r="F70" s="6">
        <v>14203642</v>
      </c>
      <c r="G70" s="3">
        <v>14203642</v>
      </c>
      <c r="H70" s="7">
        <v>196027073216</v>
      </c>
      <c r="I70" s="8" t="s">
        <v>1703</v>
      </c>
      <c r="J70" s="4">
        <v>1</v>
      </c>
      <c r="K70" s="9">
        <v>17.989999999999998</v>
      </c>
      <c r="L70" s="9">
        <v>17.989999999999998</v>
      </c>
      <c r="M70" s="4" t="s">
        <v>1704</v>
      </c>
      <c r="N70" s="4" t="s">
        <v>2544</v>
      </c>
      <c r="O70" s="4" t="s">
        <v>2705</v>
      </c>
      <c r="P70" s="4" t="s">
        <v>2569</v>
      </c>
      <c r="Q70" s="4" t="s">
        <v>2570</v>
      </c>
      <c r="R70" s="4"/>
      <c r="S70" s="4"/>
      <c r="T70" s="4" t="str">
        <f>HYPERLINK("http://slimages.macys.com/is/image/MCY/20662587 ")</f>
        <v xml:space="preserve">http://slimages.macys.com/is/image/MCY/20662587 </v>
      </c>
    </row>
    <row r="71" spans="1:20" ht="15" customHeight="1" x14ac:dyDescent="0.25">
      <c r="A71" s="4" t="s">
        <v>2489</v>
      </c>
      <c r="B71" s="2" t="s">
        <v>2487</v>
      </c>
      <c r="C71" s="2" t="s">
        <v>2488</v>
      </c>
      <c r="D71" s="5" t="s">
        <v>2490</v>
      </c>
      <c r="E71" s="4" t="s">
        <v>2491</v>
      </c>
      <c r="F71" s="6">
        <v>14203642</v>
      </c>
      <c r="G71" s="3">
        <v>14203642</v>
      </c>
      <c r="H71" s="7">
        <v>733004398650</v>
      </c>
      <c r="I71" s="8" t="s">
        <v>436</v>
      </c>
      <c r="J71" s="4">
        <v>7</v>
      </c>
      <c r="K71" s="9">
        <v>21.99</v>
      </c>
      <c r="L71" s="9">
        <v>153.93</v>
      </c>
      <c r="M71" s="4" t="s">
        <v>1910</v>
      </c>
      <c r="N71" s="4" t="s">
        <v>2501</v>
      </c>
      <c r="O71" s="4" t="s">
        <v>2653</v>
      </c>
      <c r="P71" s="4" t="s">
        <v>2515</v>
      </c>
      <c r="Q71" s="4" t="s">
        <v>2672</v>
      </c>
      <c r="R71" s="4"/>
      <c r="S71" s="4"/>
      <c r="T71" s="4" t="str">
        <f>HYPERLINK("http://slimages.macys.com/is/image/MCY/20143304 ")</f>
        <v xml:space="preserve">http://slimages.macys.com/is/image/MCY/20143304 </v>
      </c>
    </row>
    <row r="72" spans="1:20" ht="15" customHeight="1" x14ac:dyDescent="0.25">
      <c r="A72" s="4" t="s">
        <v>2489</v>
      </c>
      <c r="B72" s="2" t="s">
        <v>2487</v>
      </c>
      <c r="C72" s="2" t="s">
        <v>2488</v>
      </c>
      <c r="D72" s="5" t="s">
        <v>2490</v>
      </c>
      <c r="E72" s="4" t="s">
        <v>2491</v>
      </c>
      <c r="F72" s="6">
        <v>14203642</v>
      </c>
      <c r="G72" s="3">
        <v>14203642</v>
      </c>
      <c r="H72" s="7">
        <v>733004397806</v>
      </c>
      <c r="I72" s="8" t="s">
        <v>1951</v>
      </c>
      <c r="J72" s="4">
        <v>2</v>
      </c>
      <c r="K72" s="9">
        <v>21.99</v>
      </c>
      <c r="L72" s="9">
        <v>43.98</v>
      </c>
      <c r="M72" s="4" t="s">
        <v>1910</v>
      </c>
      <c r="N72" s="4" t="s">
        <v>2501</v>
      </c>
      <c r="O72" s="4">
        <v>5</v>
      </c>
      <c r="P72" s="4" t="s">
        <v>2515</v>
      </c>
      <c r="Q72" s="4" t="s">
        <v>2672</v>
      </c>
      <c r="R72" s="4"/>
      <c r="S72" s="4"/>
      <c r="T72" s="4" t="str">
        <f>HYPERLINK("http://slimages.macys.com/is/image/MCY/20143304 ")</f>
        <v xml:space="preserve">http://slimages.macys.com/is/image/MCY/20143304 </v>
      </c>
    </row>
    <row r="73" spans="1:20" ht="15" customHeight="1" x14ac:dyDescent="0.25">
      <c r="A73" s="4" t="s">
        <v>2489</v>
      </c>
      <c r="B73" s="2" t="s">
        <v>2487</v>
      </c>
      <c r="C73" s="2" t="s">
        <v>2488</v>
      </c>
      <c r="D73" s="5" t="s">
        <v>2490</v>
      </c>
      <c r="E73" s="4" t="s">
        <v>2491</v>
      </c>
      <c r="F73" s="6">
        <v>14203642</v>
      </c>
      <c r="G73" s="3">
        <v>14203642</v>
      </c>
      <c r="H73" s="7">
        <v>195958169517</v>
      </c>
      <c r="I73" s="8" t="s">
        <v>437</v>
      </c>
      <c r="J73" s="4">
        <v>2</v>
      </c>
      <c r="K73" s="9">
        <v>36.99</v>
      </c>
      <c r="L73" s="9">
        <v>73.98</v>
      </c>
      <c r="M73" s="4" t="s">
        <v>438</v>
      </c>
      <c r="N73" s="4" t="s">
        <v>2544</v>
      </c>
      <c r="O73" s="4" t="s">
        <v>2493</v>
      </c>
      <c r="P73" s="4" t="s">
        <v>2562</v>
      </c>
      <c r="Q73" s="4" t="s">
        <v>2603</v>
      </c>
      <c r="R73" s="4"/>
      <c r="S73" s="4"/>
      <c r="T73" s="4" t="str">
        <f>HYPERLINK("http://slimages.macys.com/is/image/MCY/20473438 ")</f>
        <v xml:space="preserve">http://slimages.macys.com/is/image/MCY/20473438 </v>
      </c>
    </row>
    <row r="74" spans="1:20" ht="15" customHeight="1" x14ac:dyDescent="0.25">
      <c r="A74" s="4" t="s">
        <v>2489</v>
      </c>
      <c r="B74" s="2" t="s">
        <v>2487</v>
      </c>
      <c r="C74" s="2" t="s">
        <v>2488</v>
      </c>
      <c r="D74" s="5" t="s">
        <v>2490</v>
      </c>
      <c r="E74" s="4" t="s">
        <v>2491</v>
      </c>
      <c r="F74" s="6">
        <v>14203642</v>
      </c>
      <c r="G74" s="3">
        <v>14203642</v>
      </c>
      <c r="H74" s="7">
        <v>196027095096</v>
      </c>
      <c r="I74" s="8" t="s">
        <v>2102</v>
      </c>
      <c r="J74" s="4">
        <v>9</v>
      </c>
      <c r="K74" s="9">
        <v>25.99</v>
      </c>
      <c r="L74" s="9">
        <v>233.91</v>
      </c>
      <c r="M74" s="4" t="s">
        <v>2103</v>
      </c>
      <c r="N74" s="4" t="s">
        <v>2544</v>
      </c>
      <c r="O74" s="4" t="s">
        <v>2524</v>
      </c>
      <c r="P74" s="4" t="s">
        <v>2569</v>
      </c>
      <c r="Q74" s="4" t="s">
        <v>2755</v>
      </c>
      <c r="R74" s="4"/>
      <c r="S74" s="4"/>
      <c r="T74" s="4" t="str">
        <f>HYPERLINK("http://slimages.macys.com/is/image/MCY/20750287 ")</f>
        <v xml:space="preserve">http://slimages.macys.com/is/image/MCY/20750287 </v>
      </c>
    </row>
    <row r="75" spans="1:20" ht="15" customHeight="1" x14ac:dyDescent="0.25">
      <c r="A75" s="4" t="s">
        <v>2489</v>
      </c>
      <c r="B75" s="2" t="s">
        <v>2487</v>
      </c>
      <c r="C75" s="2" t="s">
        <v>2488</v>
      </c>
      <c r="D75" s="5" t="s">
        <v>2490</v>
      </c>
      <c r="E75" s="4" t="s">
        <v>2491</v>
      </c>
      <c r="F75" s="6">
        <v>14203642</v>
      </c>
      <c r="G75" s="3">
        <v>14203642</v>
      </c>
      <c r="H75" s="7">
        <v>196027002667</v>
      </c>
      <c r="I75" s="8" t="s">
        <v>1931</v>
      </c>
      <c r="J75" s="4">
        <v>12</v>
      </c>
      <c r="K75" s="9">
        <v>19.989999999999998</v>
      </c>
      <c r="L75" s="9">
        <v>239.88</v>
      </c>
      <c r="M75" s="4" t="s">
        <v>1932</v>
      </c>
      <c r="N75" s="4" t="s">
        <v>2544</v>
      </c>
      <c r="O75" s="4">
        <v>8</v>
      </c>
      <c r="P75" s="4" t="s">
        <v>2569</v>
      </c>
      <c r="Q75" s="4" t="s">
        <v>2570</v>
      </c>
      <c r="R75" s="4"/>
      <c r="S75" s="4"/>
      <c r="T75" s="4" t="str">
        <f>HYPERLINK("http://slimages.macys.com/is/image/MCY/20084499 ")</f>
        <v xml:space="preserve">http://slimages.macys.com/is/image/MCY/20084499 </v>
      </c>
    </row>
    <row r="76" spans="1:20" ht="15" customHeight="1" x14ac:dyDescent="0.25">
      <c r="A76" s="4" t="s">
        <v>2489</v>
      </c>
      <c r="B76" s="2" t="s">
        <v>2487</v>
      </c>
      <c r="C76" s="2" t="s">
        <v>2488</v>
      </c>
      <c r="D76" s="5" t="s">
        <v>2490</v>
      </c>
      <c r="E76" s="4" t="s">
        <v>2491</v>
      </c>
      <c r="F76" s="6">
        <v>14203642</v>
      </c>
      <c r="G76" s="3">
        <v>14203642</v>
      </c>
      <c r="H76" s="7">
        <v>826410239034</v>
      </c>
      <c r="I76" s="8" t="s">
        <v>439</v>
      </c>
      <c r="J76" s="4">
        <v>2</v>
      </c>
      <c r="K76" s="9">
        <v>34.99</v>
      </c>
      <c r="L76" s="9">
        <v>69.98</v>
      </c>
      <c r="M76" s="4">
        <v>7919778</v>
      </c>
      <c r="N76" s="4" t="s">
        <v>2598</v>
      </c>
      <c r="O76" s="4">
        <v>7</v>
      </c>
      <c r="P76" s="4" t="s">
        <v>2634</v>
      </c>
      <c r="Q76" s="4" t="s">
        <v>3100</v>
      </c>
      <c r="R76" s="4"/>
      <c r="S76" s="4"/>
      <c r="T76" s="4" t="str">
        <f>HYPERLINK("http://slimages.macys.com/is/image/MCY/19316662 ")</f>
        <v xml:space="preserve">http://slimages.macys.com/is/image/MCY/19316662 </v>
      </c>
    </row>
    <row r="77" spans="1:20" ht="15" customHeight="1" x14ac:dyDescent="0.25">
      <c r="A77" s="4" t="s">
        <v>2489</v>
      </c>
      <c r="B77" s="2" t="s">
        <v>2487</v>
      </c>
      <c r="C77" s="2" t="s">
        <v>2488</v>
      </c>
      <c r="D77" s="5" t="s">
        <v>2490</v>
      </c>
      <c r="E77" s="4" t="s">
        <v>2491</v>
      </c>
      <c r="F77" s="6">
        <v>14203642</v>
      </c>
      <c r="G77" s="3">
        <v>14203642</v>
      </c>
      <c r="H77" s="7">
        <v>196027094914</v>
      </c>
      <c r="I77" s="8" t="s">
        <v>793</v>
      </c>
      <c r="J77" s="4">
        <v>4</v>
      </c>
      <c r="K77" s="9">
        <v>27.99</v>
      </c>
      <c r="L77" s="9">
        <v>111.96</v>
      </c>
      <c r="M77" s="4" t="s">
        <v>1945</v>
      </c>
      <c r="N77" s="4" t="s">
        <v>2544</v>
      </c>
      <c r="O77" s="4"/>
      <c r="P77" s="4" t="s">
        <v>2569</v>
      </c>
      <c r="Q77" s="4" t="s">
        <v>2755</v>
      </c>
      <c r="R77" s="4"/>
      <c r="S77" s="4"/>
      <c r="T77" s="4" t="str">
        <f>HYPERLINK("http://slimages.macys.com/is/image/MCY/20750229 ")</f>
        <v xml:space="preserve">http://slimages.macys.com/is/image/MCY/20750229 </v>
      </c>
    </row>
    <row r="78" spans="1:20" ht="15" customHeight="1" x14ac:dyDescent="0.25">
      <c r="A78" s="4" t="s">
        <v>2489</v>
      </c>
      <c r="B78" s="2" t="s">
        <v>2487</v>
      </c>
      <c r="C78" s="2" t="s">
        <v>2488</v>
      </c>
      <c r="D78" s="5" t="s">
        <v>2490</v>
      </c>
      <c r="E78" s="4" t="s">
        <v>2491</v>
      </c>
      <c r="F78" s="6">
        <v>14203642</v>
      </c>
      <c r="G78" s="3">
        <v>14203642</v>
      </c>
      <c r="H78" s="7">
        <v>196027094907</v>
      </c>
      <c r="I78" s="8" t="s">
        <v>1944</v>
      </c>
      <c r="J78" s="4">
        <v>9</v>
      </c>
      <c r="K78" s="9">
        <v>27.99</v>
      </c>
      <c r="L78" s="9">
        <v>251.91</v>
      </c>
      <c r="M78" s="4" t="s">
        <v>1945</v>
      </c>
      <c r="N78" s="4" t="s">
        <v>2544</v>
      </c>
      <c r="O78" s="4"/>
      <c r="P78" s="4" t="s">
        <v>2569</v>
      </c>
      <c r="Q78" s="4" t="s">
        <v>2755</v>
      </c>
      <c r="R78" s="4"/>
      <c r="S78" s="4"/>
      <c r="T78" s="4" t="str">
        <f>HYPERLINK("http://slimages.macys.com/is/image/MCY/20750229 ")</f>
        <v xml:space="preserve">http://slimages.macys.com/is/image/MCY/20750229 </v>
      </c>
    </row>
    <row r="79" spans="1:20" ht="15" customHeight="1" x14ac:dyDescent="0.25">
      <c r="A79" s="4" t="s">
        <v>2489</v>
      </c>
      <c r="B79" s="2" t="s">
        <v>2487</v>
      </c>
      <c r="C79" s="2" t="s">
        <v>2488</v>
      </c>
      <c r="D79" s="5" t="s">
        <v>2490</v>
      </c>
      <c r="E79" s="4" t="s">
        <v>2491</v>
      </c>
      <c r="F79" s="6">
        <v>14203642</v>
      </c>
      <c r="G79" s="3">
        <v>14203642</v>
      </c>
      <c r="H79" s="7">
        <v>889799981420</v>
      </c>
      <c r="I79" s="8" t="s">
        <v>94</v>
      </c>
      <c r="J79" s="4">
        <v>13</v>
      </c>
      <c r="K79" s="9">
        <v>17.989999999999998</v>
      </c>
      <c r="L79" s="9">
        <v>233.87</v>
      </c>
      <c r="M79" s="4" t="s">
        <v>1949</v>
      </c>
      <c r="N79" s="4" t="s">
        <v>2544</v>
      </c>
      <c r="O79" s="4" t="s">
        <v>2705</v>
      </c>
      <c r="P79" s="4" t="s">
        <v>2569</v>
      </c>
      <c r="Q79" s="4" t="s">
        <v>2570</v>
      </c>
      <c r="R79" s="4"/>
      <c r="S79" s="4"/>
      <c r="T79" s="4" t="str">
        <f>HYPERLINK("http://slimages.macys.com/is/image/MCY/20145302 ")</f>
        <v xml:space="preserve">http://slimages.macys.com/is/image/MCY/20145302 </v>
      </c>
    </row>
    <row r="80" spans="1:20" ht="15" customHeight="1" x14ac:dyDescent="0.25">
      <c r="A80" s="4" t="s">
        <v>2489</v>
      </c>
      <c r="B80" s="2" t="s">
        <v>2487</v>
      </c>
      <c r="C80" s="2" t="s">
        <v>2488</v>
      </c>
      <c r="D80" s="5" t="s">
        <v>2490</v>
      </c>
      <c r="E80" s="4" t="s">
        <v>2491</v>
      </c>
      <c r="F80" s="6">
        <v>14203642</v>
      </c>
      <c r="G80" s="3">
        <v>14203642</v>
      </c>
      <c r="H80" s="7">
        <v>733004398674</v>
      </c>
      <c r="I80" s="8" t="s">
        <v>440</v>
      </c>
      <c r="J80" s="4">
        <v>4</v>
      </c>
      <c r="K80" s="9">
        <v>21.99</v>
      </c>
      <c r="L80" s="9">
        <v>87.96</v>
      </c>
      <c r="M80" s="4" t="s">
        <v>1910</v>
      </c>
      <c r="N80" s="4" t="s">
        <v>2758</v>
      </c>
      <c r="O80" s="4">
        <v>6</v>
      </c>
      <c r="P80" s="4" t="s">
        <v>2515</v>
      </c>
      <c r="Q80" s="4" t="s">
        <v>2672</v>
      </c>
      <c r="R80" s="4"/>
      <c r="S80" s="4"/>
      <c r="T80" s="4" t="str">
        <f>HYPERLINK("http://slimages.macys.com/is/image/MCY/20143304 ")</f>
        <v xml:space="preserve">http://slimages.macys.com/is/image/MCY/20143304 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8"/>
  <sheetViews>
    <sheetView workbookViewId="0">
      <selection activeCell="A41" sqref="A41"/>
    </sheetView>
  </sheetViews>
  <sheetFormatPr defaultRowHeight="15" x14ac:dyDescent="0.25"/>
  <cols>
    <col min="1" max="1" width="19.85546875" bestFit="1" customWidth="1"/>
    <col min="2" max="2" width="34.42578125" bestFit="1" customWidth="1"/>
    <col min="3" max="3" width="26" bestFit="1" customWidth="1"/>
    <col min="4" max="4" width="8.140625" bestFit="1" customWidth="1"/>
    <col min="5" max="5" width="9.85546875" bestFit="1" customWidth="1"/>
    <col min="6" max="7" width="9" bestFit="1" customWidth="1"/>
    <col min="8" max="8" width="14.140625" bestFit="1" customWidth="1"/>
    <col min="9" max="9" width="68.28515625" bestFit="1" customWidth="1"/>
    <col min="10" max="11" width="8.7109375" bestFit="1" customWidth="1"/>
    <col min="12" max="12" width="14.7109375" bestFit="1" customWidth="1"/>
    <col min="13" max="13" width="15.85546875" bestFit="1" customWidth="1"/>
    <col min="14" max="14" width="12.85546875" bestFit="1" customWidth="1"/>
    <col min="15" max="15" width="10.28515625" bestFit="1" customWidth="1"/>
    <col min="16" max="16" width="15.7109375" bestFit="1" customWidth="1"/>
    <col min="17" max="17" width="39.7109375" bestFit="1" customWidth="1"/>
    <col min="18" max="18" width="9.85546875" bestFit="1" customWidth="1"/>
    <col min="19" max="19" width="54.85546875" bestFit="1" customWidth="1"/>
    <col min="20" max="20" width="42.85546875" bestFit="1" customWidth="1"/>
  </cols>
  <sheetData>
    <row r="1" spans="1:20" ht="24" x14ac:dyDescent="0.25">
      <c r="A1" s="1" t="s">
        <v>2480</v>
      </c>
      <c r="B1" s="1" t="s">
        <v>2482</v>
      </c>
      <c r="C1" s="1" t="s">
        <v>2483</v>
      </c>
      <c r="D1" s="1" t="s">
        <v>2572</v>
      </c>
      <c r="E1" s="1" t="s">
        <v>2573</v>
      </c>
      <c r="F1" s="1" t="s">
        <v>2481</v>
      </c>
      <c r="G1" s="1" t="s">
        <v>2574</v>
      </c>
      <c r="H1" s="1" t="s">
        <v>2575</v>
      </c>
      <c r="I1" s="1" t="s">
        <v>2576</v>
      </c>
      <c r="J1" s="1" t="s">
        <v>2577</v>
      </c>
      <c r="K1" s="1" t="s">
        <v>2485</v>
      </c>
      <c r="L1" s="1" t="s">
        <v>2578</v>
      </c>
      <c r="M1" s="1" t="s">
        <v>2579</v>
      </c>
      <c r="N1" s="1" t="s">
        <v>2580</v>
      </c>
      <c r="O1" s="1" t="s">
        <v>2581</v>
      </c>
      <c r="P1" s="1" t="s">
        <v>2582</v>
      </c>
      <c r="Q1" s="1" t="s">
        <v>2583</v>
      </c>
      <c r="R1" s="1" t="s">
        <v>2584</v>
      </c>
      <c r="S1" s="1" t="s">
        <v>2585</v>
      </c>
      <c r="T1" s="1" t="s">
        <v>2586</v>
      </c>
    </row>
    <row r="2" spans="1:20" ht="15" customHeight="1" x14ac:dyDescent="0.25">
      <c r="A2" s="4" t="s">
        <v>2489</v>
      </c>
      <c r="B2" s="2" t="s">
        <v>2487</v>
      </c>
      <c r="C2" s="2" t="s">
        <v>2488</v>
      </c>
      <c r="D2" s="5" t="s">
        <v>2490</v>
      </c>
      <c r="E2" s="4" t="s">
        <v>2491</v>
      </c>
      <c r="F2" s="6">
        <v>14278836</v>
      </c>
      <c r="G2" s="3">
        <v>14278836</v>
      </c>
      <c r="H2" s="7">
        <v>733004942082</v>
      </c>
      <c r="I2" s="8" t="s">
        <v>3166</v>
      </c>
      <c r="J2" s="4">
        <v>1</v>
      </c>
      <c r="K2" s="9">
        <v>39.5</v>
      </c>
      <c r="L2" s="9">
        <v>39.5</v>
      </c>
      <c r="M2" s="4">
        <v>100134838</v>
      </c>
      <c r="N2" s="4" t="s">
        <v>2762</v>
      </c>
      <c r="O2" s="4" t="s">
        <v>3167</v>
      </c>
      <c r="P2" s="4" t="s">
        <v>2510</v>
      </c>
      <c r="Q2" s="4" t="s">
        <v>2943</v>
      </c>
      <c r="R2" s="4"/>
      <c r="S2" s="4"/>
      <c r="T2" s="4" t="str">
        <f>HYPERLINK("http://slimages.macys.com/is/image/MCY/20139107 ")</f>
        <v xml:space="preserve">http://slimages.macys.com/is/image/MCY/20139107 </v>
      </c>
    </row>
    <row r="3" spans="1:20" ht="15" customHeight="1" x14ac:dyDescent="0.25">
      <c r="A3" s="4" t="s">
        <v>2489</v>
      </c>
      <c r="B3" s="2" t="s">
        <v>2487</v>
      </c>
      <c r="C3" s="2" t="s">
        <v>2488</v>
      </c>
      <c r="D3" s="5" t="s">
        <v>2490</v>
      </c>
      <c r="E3" s="4" t="s">
        <v>2491</v>
      </c>
      <c r="F3" s="6">
        <v>14278836</v>
      </c>
      <c r="G3" s="3">
        <v>14278836</v>
      </c>
      <c r="H3" s="7">
        <v>733003907952</v>
      </c>
      <c r="I3" s="8" t="s">
        <v>2149</v>
      </c>
      <c r="J3" s="4">
        <v>2</v>
      </c>
      <c r="K3" s="9">
        <v>15.99</v>
      </c>
      <c r="L3" s="9">
        <v>31.98</v>
      </c>
      <c r="M3" s="4" t="s">
        <v>2150</v>
      </c>
      <c r="N3" s="4" t="s">
        <v>2600</v>
      </c>
      <c r="O3" s="4" t="s">
        <v>2559</v>
      </c>
      <c r="P3" s="4" t="s">
        <v>2503</v>
      </c>
      <c r="Q3" s="4" t="s">
        <v>2504</v>
      </c>
      <c r="R3" s="4"/>
      <c r="S3" s="4"/>
      <c r="T3" s="4" t="str">
        <f>HYPERLINK("http://slimages.macys.com/is/image/MCY/17538908 ")</f>
        <v xml:space="preserve">http://slimages.macys.com/is/image/MCY/17538908 </v>
      </c>
    </row>
    <row r="4" spans="1:20" ht="15" customHeight="1" x14ac:dyDescent="0.25">
      <c r="A4" s="4" t="s">
        <v>2489</v>
      </c>
      <c r="B4" s="2" t="s">
        <v>2487</v>
      </c>
      <c r="C4" s="2" t="s">
        <v>2488</v>
      </c>
      <c r="D4" s="5" t="s">
        <v>2490</v>
      </c>
      <c r="E4" s="4" t="s">
        <v>2491</v>
      </c>
      <c r="F4" s="6">
        <v>14278836</v>
      </c>
      <c r="G4" s="3">
        <v>14278836</v>
      </c>
      <c r="H4" s="7">
        <v>194135635241</v>
      </c>
      <c r="I4" s="8" t="s">
        <v>2151</v>
      </c>
      <c r="J4" s="4">
        <v>1</v>
      </c>
      <c r="K4" s="9">
        <v>17.29</v>
      </c>
      <c r="L4" s="9">
        <v>17.29</v>
      </c>
      <c r="M4" s="4" t="s">
        <v>2152</v>
      </c>
      <c r="N4" s="4"/>
      <c r="O4" s="4" t="s">
        <v>2597</v>
      </c>
      <c r="P4" s="4" t="s">
        <v>2494</v>
      </c>
      <c r="Q4" s="4" t="s">
        <v>2495</v>
      </c>
      <c r="R4" s="4"/>
      <c r="S4" s="4"/>
      <c r="T4" s="4" t="str">
        <f>HYPERLINK("http://slimages.macys.com/is/image/MCY/19973243 ")</f>
        <v xml:space="preserve">http://slimages.macys.com/is/image/MCY/19973243 </v>
      </c>
    </row>
    <row r="5" spans="1:20" ht="15" customHeight="1" x14ac:dyDescent="0.25">
      <c r="A5" s="4" t="s">
        <v>2489</v>
      </c>
      <c r="B5" s="2" t="s">
        <v>2487</v>
      </c>
      <c r="C5" s="2" t="s">
        <v>2488</v>
      </c>
      <c r="D5" s="5" t="s">
        <v>2490</v>
      </c>
      <c r="E5" s="4" t="s">
        <v>2491</v>
      </c>
      <c r="F5" s="6">
        <v>14278836</v>
      </c>
      <c r="G5" s="3">
        <v>14278836</v>
      </c>
      <c r="H5" s="7">
        <v>194135491335</v>
      </c>
      <c r="I5" s="8" t="s">
        <v>2153</v>
      </c>
      <c r="J5" s="4">
        <v>1</v>
      </c>
      <c r="K5" s="9">
        <v>11.1</v>
      </c>
      <c r="L5" s="9">
        <v>11.1</v>
      </c>
      <c r="M5" s="4" t="s">
        <v>2154</v>
      </c>
      <c r="N5" s="4"/>
      <c r="O5" s="4" t="s">
        <v>2587</v>
      </c>
      <c r="P5" s="4" t="s">
        <v>2657</v>
      </c>
      <c r="Q5" s="4" t="s">
        <v>2716</v>
      </c>
      <c r="R5" s="4"/>
      <c r="S5" s="4"/>
      <c r="T5" s="4" t="str">
        <f>HYPERLINK("http://slimages.macys.com/is/image/MCY/19917199 ")</f>
        <v xml:space="preserve">http://slimages.macys.com/is/image/MCY/19917199 </v>
      </c>
    </row>
    <row r="6" spans="1:20" ht="15" customHeight="1" x14ac:dyDescent="0.25">
      <c r="A6" s="4" t="s">
        <v>2489</v>
      </c>
      <c r="B6" s="2" t="s">
        <v>2487</v>
      </c>
      <c r="C6" s="2" t="s">
        <v>2488</v>
      </c>
      <c r="D6" s="5" t="s">
        <v>2490</v>
      </c>
      <c r="E6" s="4" t="s">
        <v>2491</v>
      </c>
      <c r="F6" s="6">
        <v>14278836</v>
      </c>
      <c r="G6" s="3">
        <v>14278836</v>
      </c>
      <c r="H6" s="7">
        <v>762120016186</v>
      </c>
      <c r="I6" s="8" t="s">
        <v>2155</v>
      </c>
      <c r="J6" s="4">
        <v>1</v>
      </c>
      <c r="K6" s="9">
        <v>11.99</v>
      </c>
      <c r="L6" s="9">
        <v>11.99</v>
      </c>
      <c r="M6" s="4" t="s">
        <v>2156</v>
      </c>
      <c r="N6" s="4" t="s">
        <v>2567</v>
      </c>
      <c r="O6" s="4" t="s">
        <v>2532</v>
      </c>
      <c r="P6" s="4" t="s">
        <v>2520</v>
      </c>
      <c r="Q6" s="4" t="s">
        <v>2521</v>
      </c>
      <c r="R6" s="4"/>
      <c r="S6" s="4"/>
      <c r="T6" s="4" t="str">
        <f>HYPERLINK("http://slimages.macys.com/is/image/MCY/20673069 ")</f>
        <v xml:space="preserve">http://slimages.macys.com/is/image/MCY/20673069 </v>
      </c>
    </row>
    <row r="7" spans="1:20" ht="15" customHeight="1" x14ac:dyDescent="0.25">
      <c r="A7" s="4" t="s">
        <v>2489</v>
      </c>
      <c r="B7" s="2" t="s">
        <v>2487</v>
      </c>
      <c r="C7" s="2" t="s">
        <v>2488</v>
      </c>
      <c r="D7" s="5" t="s">
        <v>2490</v>
      </c>
      <c r="E7" s="4" t="s">
        <v>2491</v>
      </c>
      <c r="F7" s="6">
        <v>14278836</v>
      </c>
      <c r="G7" s="3">
        <v>14278836</v>
      </c>
      <c r="H7" s="7">
        <v>733003908065</v>
      </c>
      <c r="I7" s="8" t="s">
        <v>2157</v>
      </c>
      <c r="J7" s="4">
        <v>2</v>
      </c>
      <c r="K7" s="9">
        <v>15.99</v>
      </c>
      <c r="L7" s="9">
        <v>31.98</v>
      </c>
      <c r="M7" s="4" t="s">
        <v>2150</v>
      </c>
      <c r="N7" s="4" t="s">
        <v>2600</v>
      </c>
      <c r="O7" s="4"/>
      <c r="P7" s="4" t="s">
        <v>2503</v>
      </c>
      <c r="Q7" s="4" t="s">
        <v>2504</v>
      </c>
      <c r="R7" s="4"/>
      <c r="S7" s="4"/>
      <c r="T7" s="4" t="str">
        <f>HYPERLINK("http://slimages.macys.com/is/image/MCY/17538908 ")</f>
        <v xml:space="preserve">http://slimages.macys.com/is/image/MCY/17538908 </v>
      </c>
    </row>
    <row r="8" spans="1:20" ht="15" customHeight="1" x14ac:dyDescent="0.25">
      <c r="A8" s="4" t="s">
        <v>2489</v>
      </c>
      <c r="B8" s="2" t="s">
        <v>2487</v>
      </c>
      <c r="C8" s="2" t="s">
        <v>2488</v>
      </c>
      <c r="D8" s="5" t="s">
        <v>2490</v>
      </c>
      <c r="E8" s="4" t="s">
        <v>2491</v>
      </c>
      <c r="F8" s="6">
        <v>14278836</v>
      </c>
      <c r="G8" s="3">
        <v>14278836</v>
      </c>
      <c r="H8" s="7">
        <v>193712347027</v>
      </c>
      <c r="I8" s="8" t="s">
        <v>2158</v>
      </c>
      <c r="J8" s="4">
        <v>1</v>
      </c>
      <c r="K8" s="9">
        <v>30.99</v>
      </c>
      <c r="L8" s="9">
        <v>30.99</v>
      </c>
      <c r="M8" s="4" t="s">
        <v>2159</v>
      </c>
      <c r="N8" s="4" t="s">
        <v>2518</v>
      </c>
      <c r="O8" s="4" t="s">
        <v>2906</v>
      </c>
      <c r="P8" s="4" t="s">
        <v>2536</v>
      </c>
      <c r="Q8" s="4" t="s">
        <v>2869</v>
      </c>
      <c r="R8" s="4"/>
      <c r="S8" s="4"/>
      <c r="T8" s="4" t="str">
        <f>HYPERLINK("http://slimages.macys.com/is/image/MCY/20007094 ")</f>
        <v xml:space="preserve">http://slimages.macys.com/is/image/MCY/20007094 </v>
      </c>
    </row>
    <row r="9" spans="1:20" ht="15" customHeight="1" x14ac:dyDescent="0.25">
      <c r="A9" s="4" t="s">
        <v>2489</v>
      </c>
      <c r="B9" s="2" t="s">
        <v>2487</v>
      </c>
      <c r="C9" s="2" t="s">
        <v>2488</v>
      </c>
      <c r="D9" s="5" t="s">
        <v>2490</v>
      </c>
      <c r="E9" s="4" t="s">
        <v>2491</v>
      </c>
      <c r="F9" s="6">
        <v>14278836</v>
      </c>
      <c r="G9" s="3">
        <v>14278836</v>
      </c>
      <c r="H9" s="7">
        <v>194135519602</v>
      </c>
      <c r="I9" s="8" t="s">
        <v>2160</v>
      </c>
      <c r="J9" s="4">
        <v>1</v>
      </c>
      <c r="K9" s="9">
        <v>15.61</v>
      </c>
      <c r="L9" s="9">
        <v>15.61</v>
      </c>
      <c r="M9" s="4" t="s">
        <v>3443</v>
      </c>
      <c r="N9" s="4"/>
      <c r="O9" s="4" t="s">
        <v>2524</v>
      </c>
      <c r="P9" s="4" t="s">
        <v>2657</v>
      </c>
      <c r="Q9" s="4" t="s">
        <v>2658</v>
      </c>
      <c r="R9" s="4"/>
      <c r="S9" s="4"/>
      <c r="T9" s="4" t="str">
        <f>HYPERLINK("http://slimages.macys.com/is/image/MCY/19858248 ")</f>
        <v xml:space="preserve">http://slimages.macys.com/is/image/MCY/19858248 </v>
      </c>
    </row>
    <row r="10" spans="1:20" ht="15" customHeight="1" x14ac:dyDescent="0.25">
      <c r="A10" s="4" t="s">
        <v>2489</v>
      </c>
      <c r="B10" s="2" t="s">
        <v>2487</v>
      </c>
      <c r="C10" s="2" t="s">
        <v>2488</v>
      </c>
      <c r="D10" s="5" t="s">
        <v>2490</v>
      </c>
      <c r="E10" s="4" t="s">
        <v>2491</v>
      </c>
      <c r="F10" s="6">
        <v>14278836</v>
      </c>
      <c r="G10" s="3">
        <v>14278836</v>
      </c>
      <c r="H10" s="7">
        <v>762120016308</v>
      </c>
      <c r="I10" s="8" t="s">
        <v>2161</v>
      </c>
      <c r="J10" s="4">
        <v>1</v>
      </c>
      <c r="K10" s="9">
        <v>11.99</v>
      </c>
      <c r="L10" s="9">
        <v>11.99</v>
      </c>
      <c r="M10" s="4" t="s">
        <v>2162</v>
      </c>
      <c r="N10" s="4" t="s">
        <v>2565</v>
      </c>
      <c r="O10" s="4" t="s">
        <v>2532</v>
      </c>
      <c r="P10" s="4" t="s">
        <v>2520</v>
      </c>
      <c r="Q10" s="4" t="s">
        <v>2521</v>
      </c>
      <c r="R10" s="4"/>
      <c r="S10" s="4"/>
      <c r="T10" s="4" t="str">
        <f>HYPERLINK("http://slimages.macys.com/is/image/MCY/20673081 ")</f>
        <v xml:space="preserve">http://slimages.macys.com/is/image/MCY/20673081 </v>
      </c>
    </row>
    <row r="11" spans="1:20" ht="15" customHeight="1" x14ac:dyDescent="0.25">
      <c r="A11" s="4" t="s">
        <v>2489</v>
      </c>
      <c r="B11" s="2" t="s">
        <v>2487</v>
      </c>
      <c r="C11" s="2" t="s">
        <v>2488</v>
      </c>
      <c r="D11" s="5" t="s">
        <v>2490</v>
      </c>
      <c r="E11" s="4" t="s">
        <v>2491</v>
      </c>
      <c r="F11" s="6">
        <v>14278836</v>
      </c>
      <c r="G11" s="3">
        <v>14278836</v>
      </c>
      <c r="H11" s="7">
        <v>732999791583</v>
      </c>
      <c r="I11" s="8" t="s">
        <v>2163</v>
      </c>
      <c r="J11" s="4">
        <v>1</v>
      </c>
      <c r="K11" s="9">
        <v>5.99</v>
      </c>
      <c r="L11" s="9">
        <v>5.99</v>
      </c>
      <c r="M11" s="4" t="s">
        <v>2164</v>
      </c>
      <c r="N11" s="4" t="s">
        <v>2518</v>
      </c>
      <c r="O11" s="4" t="s">
        <v>2601</v>
      </c>
      <c r="P11" s="4" t="s">
        <v>2503</v>
      </c>
      <c r="Q11" s="4" t="s">
        <v>2504</v>
      </c>
      <c r="R11" s="4"/>
      <c r="S11" s="4"/>
      <c r="T11" s="4" t="str">
        <f>HYPERLINK("http://slimages.macys.com/is/image/MCY/16999696 ")</f>
        <v xml:space="preserve">http://slimages.macys.com/is/image/MCY/16999696 </v>
      </c>
    </row>
    <row r="12" spans="1:20" ht="15" customHeight="1" x14ac:dyDescent="0.25">
      <c r="A12" s="4" t="s">
        <v>2489</v>
      </c>
      <c r="B12" s="2" t="s">
        <v>2487</v>
      </c>
      <c r="C12" s="2" t="s">
        <v>2488</v>
      </c>
      <c r="D12" s="5" t="s">
        <v>2490</v>
      </c>
      <c r="E12" s="4" t="s">
        <v>2491</v>
      </c>
      <c r="F12" s="6">
        <v>14278836</v>
      </c>
      <c r="G12" s="3">
        <v>14278836</v>
      </c>
      <c r="H12" s="7">
        <v>732999773008</v>
      </c>
      <c r="I12" s="8" t="s">
        <v>2165</v>
      </c>
      <c r="J12" s="4">
        <v>1</v>
      </c>
      <c r="K12" s="9">
        <v>30.99</v>
      </c>
      <c r="L12" s="9">
        <v>30.99</v>
      </c>
      <c r="M12" s="4" t="s">
        <v>2166</v>
      </c>
      <c r="N12" s="4" t="s">
        <v>2523</v>
      </c>
      <c r="O12" s="4" t="s">
        <v>2671</v>
      </c>
      <c r="P12" s="4" t="s">
        <v>2543</v>
      </c>
      <c r="Q12" s="4" t="s">
        <v>2528</v>
      </c>
      <c r="R12" s="4"/>
      <c r="S12" s="4"/>
      <c r="T12" s="4" t="str">
        <f>HYPERLINK("http://slimages.macys.com/is/image/MCY/18721895 ")</f>
        <v xml:space="preserve">http://slimages.macys.com/is/image/MCY/18721895 </v>
      </c>
    </row>
    <row r="13" spans="1:20" ht="15" customHeight="1" x14ac:dyDescent="0.25">
      <c r="A13" s="4" t="s">
        <v>2489</v>
      </c>
      <c r="B13" s="2" t="s">
        <v>2487</v>
      </c>
      <c r="C13" s="2" t="s">
        <v>2488</v>
      </c>
      <c r="D13" s="5" t="s">
        <v>2490</v>
      </c>
      <c r="E13" s="4" t="s">
        <v>2491</v>
      </c>
      <c r="F13" s="6">
        <v>14278836</v>
      </c>
      <c r="G13" s="3">
        <v>14278836</v>
      </c>
      <c r="H13" s="7">
        <v>762120162388</v>
      </c>
      <c r="I13" s="8" t="s">
        <v>1787</v>
      </c>
      <c r="J13" s="4">
        <v>3</v>
      </c>
      <c r="K13" s="9">
        <v>11.99</v>
      </c>
      <c r="L13" s="9">
        <v>35.97</v>
      </c>
      <c r="M13" s="4" t="s">
        <v>2631</v>
      </c>
      <c r="N13" s="4" t="s">
        <v>2632</v>
      </c>
      <c r="O13" s="4" t="s">
        <v>2653</v>
      </c>
      <c r="P13" s="4" t="s">
        <v>2602</v>
      </c>
      <c r="Q13" s="4" t="s">
        <v>2528</v>
      </c>
      <c r="R13" s="4"/>
      <c r="S13" s="4"/>
      <c r="T13" s="4" t="str">
        <f>HYPERLINK("http://slimages.macys.com/is/image/MCY/20819681 ")</f>
        <v xml:space="preserve">http://slimages.macys.com/is/image/MCY/20819681 </v>
      </c>
    </row>
    <row r="14" spans="1:20" ht="15" customHeight="1" x14ac:dyDescent="0.25">
      <c r="A14" s="4" t="s">
        <v>2489</v>
      </c>
      <c r="B14" s="2" t="s">
        <v>2487</v>
      </c>
      <c r="C14" s="2" t="s">
        <v>2488</v>
      </c>
      <c r="D14" s="5" t="s">
        <v>2490</v>
      </c>
      <c r="E14" s="4" t="s">
        <v>2491</v>
      </c>
      <c r="F14" s="6">
        <v>14278836</v>
      </c>
      <c r="G14" s="3">
        <v>14278836</v>
      </c>
      <c r="H14" s="7">
        <v>762120162401</v>
      </c>
      <c r="I14" s="8" t="s">
        <v>2167</v>
      </c>
      <c r="J14" s="4">
        <v>1</v>
      </c>
      <c r="K14" s="9">
        <v>7.99</v>
      </c>
      <c r="L14" s="9">
        <v>7.99</v>
      </c>
      <c r="M14" s="4" t="s">
        <v>2033</v>
      </c>
      <c r="N14" s="4" t="s">
        <v>2632</v>
      </c>
      <c r="O14" s="4">
        <v>6</v>
      </c>
      <c r="P14" s="4" t="s">
        <v>2602</v>
      </c>
      <c r="Q14" s="4" t="s">
        <v>2528</v>
      </c>
      <c r="R14" s="4"/>
      <c r="S14" s="4"/>
      <c r="T14" s="4" t="str">
        <f>HYPERLINK("http://slimages.macys.com/is/image/MCY/20819685 ")</f>
        <v xml:space="preserve">http://slimages.macys.com/is/image/MCY/20819685 </v>
      </c>
    </row>
    <row r="15" spans="1:20" ht="15" customHeight="1" x14ac:dyDescent="0.25">
      <c r="A15" s="4" t="s">
        <v>2489</v>
      </c>
      <c r="B15" s="2" t="s">
        <v>2487</v>
      </c>
      <c r="C15" s="2" t="s">
        <v>2488</v>
      </c>
      <c r="D15" s="5" t="s">
        <v>2490</v>
      </c>
      <c r="E15" s="4" t="s">
        <v>2491</v>
      </c>
      <c r="F15" s="6">
        <v>14278836</v>
      </c>
      <c r="G15" s="3">
        <v>14278836</v>
      </c>
      <c r="H15" s="7">
        <v>762120023207</v>
      </c>
      <c r="I15" s="8" t="s">
        <v>1967</v>
      </c>
      <c r="J15" s="4">
        <v>1</v>
      </c>
      <c r="K15" s="9">
        <v>6.99</v>
      </c>
      <c r="L15" s="9">
        <v>6.99</v>
      </c>
      <c r="M15" s="4" t="s">
        <v>1905</v>
      </c>
      <c r="N15" s="4" t="s">
        <v>2518</v>
      </c>
      <c r="O15" s="4" t="s">
        <v>2601</v>
      </c>
      <c r="P15" s="4" t="s">
        <v>2503</v>
      </c>
      <c r="Q15" s="4" t="s">
        <v>2504</v>
      </c>
      <c r="R15" s="4"/>
      <c r="S15" s="4"/>
      <c r="T15" s="4" t="str">
        <f>HYPERLINK("http://slimages.macys.com/is/image/MCY/19977832 ")</f>
        <v xml:space="preserve">http://slimages.macys.com/is/image/MCY/19977832 </v>
      </c>
    </row>
    <row r="16" spans="1:20" ht="15" customHeight="1" x14ac:dyDescent="0.25">
      <c r="A16" s="4" t="s">
        <v>2489</v>
      </c>
      <c r="B16" s="2" t="s">
        <v>2487</v>
      </c>
      <c r="C16" s="2" t="s">
        <v>2488</v>
      </c>
      <c r="D16" s="5" t="s">
        <v>2490</v>
      </c>
      <c r="E16" s="4" t="s">
        <v>2491</v>
      </c>
      <c r="F16" s="6">
        <v>14278836</v>
      </c>
      <c r="G16" s="3">
        <v>14278836</v>
      </c>
      <c r="H16" s="7">
        <v>762120085434</v>
      </c>
      <c r="I16" s="8" t="s">
        <v>2168</v>
      </c>
      <c r="J16" s="4">
        <v>1</v>
      </c>
      <c r="K16" s="9">
        <v>7.99</v>
      </c>
      <c r="L16" s="9">
        <v>7.99</v>
      </c>
      <c r="M16" s="4" t="s">
        <v>2929</v>
      </c>
      <c r="N16" s="4"/>
      <c r="O16" s="4">
        <v>5</v>
      </c>
      <c r="P16" s="4" t="s">
        <v>2602</v>
      </c>
      <c r="Q16" s="4" t="s">
        <v>2528</v>
      </c>
      <c r="R16" s="4"/>
      <c r="S16" s="4"/>
      <c r="T16" s="4" t="str">
        <f>HYPERLINK("http://slimages.macys.com/is/image/MCY/20691811 ")</f>
        <v xml:space="preserve">http://slimages.macys.com/is/image/MCY/20691811 </v>
      </c>
    </row>
    <row r="17" spans="1:20" ht="15" customHeight="1" x14ac:dyDescent="0.25">
      <c r="A17" s="4" t="s">
        <v>2489</v>
      </c>
      <c r="B17" s="2" t="s">
        <v>2487</v>
      </c>
      <c r="C17" s="2" t="s">
        <v>2488</v>
      </c>
      <c r="D17" s="5" t="s">
        <v>2490</v>
      </c>
      <c r="E17" s="4" t="s">
        <v>2491</v>
      </c>
      <c r="F17" s="6">
        <v>14278836</v>
      </c>
      <c r="G17" s="3">
        <v>14278836</v>
      </c>
      <c r="H17" s="7">
        <v>733003616342</v>
      </c>
      <c r="I17" s="8" t="s">
        <v>2169</v>
      </c>
      <c r="J17" s="4">
        <v>2</v>
      </c>
      <c r="K17" s="9">
        <v>7.99</v>
      </c>
      <c r="L17" s="9">
        <v>15.98</v>
      </c>
      <c r="M17" s="4" t="s">
        <v>2757</v>
      </c>
      <c r="N17" s="4" t="s">
        <v>2561</v>
      </c>
      <c r="O17" s="4" t="s">
        <v>2650</v>
      </c>
      <c r="P17" s="4" t="s">
        <v>2503</v>
      </c>
      <c r="Q17" s="4" t="s">
        <v>2504</v>
      </c>
      <c r="R17" s="4"/>
      <c r="S17" s="4"/>
      <c r="T17" s="4" t="str">
        <f>HYPERLINK("http://slimages.macys.com/is/image/MCY/8695857 ")</f>
        <v xml:space="preserve">http://slimages.macys.com/is/image/MCY/8695857 </v>
      </c>
    </row>
    <row r="18" spans="1:20" ht="15" customHeight="1" x14ac:dyDescent="0.25">
      <c r="A18" s="4" t="s">
        <v>2489</v>
      </c>
      <c r="B18" s="2" t="s">
        <v>2487</v>
      </c>
      <c r="C18" s="2" t="s">
        <v>2488</v>
      </c>
      <c r="D18" s="5" t="s">
        <v>2490</v>
      </c>
      <c r="E18" s="4" t="s">
        <v>2491</v>
      </c>
      <c r="F18" s="6">
        <v>14278836</v>
      </c>
      <c r="G18" s="3">
        <v>14278836</v>
      </c>
      <c r="H18" s="7">
        <v>742728961828</v>
      </c>
      <c r="I18" s="8" t="s">
        <v>2170</v>
      </c>
      <c r="J18" s="4">
        <v>1</v>
      </c>
      <c r="K18" s="9">
        <v>14.99</v>
      </c>
      <c r="L18" s="9">
        <v>14.99</v>
      </c>
      <c r="M18" s="4" t="s">
        <v>2171</v>
      </c>
      <c r="N18" s="4" t="s">
        <v>2535</v>
      </c>
      <c r="O18" s="4"/>
      <c r="P18" s="4" t="s">
        <v>2539</v>
      </c>
      <c r="Q18" s="4" t="s">
        <v>2733</v>
      </c>
      <c r="R18" s="4"/>
      <c r="S18" s="4"/>
      <c r="T18" s="4" t="str">
        <f>HYPERLINK("http://slimages.macys.com/is/image/MCY/21306080 ")</f>
        <v xml:space="preserve">http://slimages.macys.com/is/image/MCY/21306080 </v>
      </c>
    </row>
    <row r="19" spans="1:20" ht="15" customHeight="1" x14ac:dyDescent="0.25">
      <c r="A19" s="4" t="s">
        <v>2489</v>
      </c>
      <c r="B19" s="2" t="s">
        <v>2487</v>
      </c>
      <c r="C19" s="2" t="s">
        <v>2488</v>
      </c>
      <c r="D19" s="5" t="s">
        <v>2490</v>
      </c>
      <c r="E19" s="4" t="s">
        <v>2491</v>
      </c>
      <c r="F19" s="6">
        <v>14278836</v>
      </c>
      <c r="G19" s="3">
        <v>14278836</v>
      </c>
      <c r="H19" s="7">
        <v>762120023634</v>
      </c>
      <c r="I19" s="8" t="s">
        <v>2172</v>
      </c>
      <c r="J19" s="4">
        <v>1</v>
      </c>
      <c r="K19" s="9">
        <v>7.99</v>
      </c>
      <c r="L19" s="9">
        <v>7.99</v>
      </c>
      <c r="M19" s="4" t="s">
        <v>3024</v>
      </c>
      <c r="N19" s="4" t="s">
        <v>2565</v>
      </c>
      <c r="O19" s="4" t="s">
        <v>2650</v>
      </c>
      <c r="P19" s="4" t="s">
        <v>2503</v>
      </c>
      <c r="Q19" s="4" t="s">
        <v>2504</v>
      </c>
      <c r="R19" s="4"/>
      <c r="S19" s="4"/>
      <c r="T19" s="4" t="str">
        <f>HYPERLINK("http://slimages.macys.com/is/image/MCY/19977451 ")</f>
        <v xml:space="preserve">http://slimages.macys.com/is/image/MCY/19977451 </v>
      </c>
    </row>
    <row r="20" spans="1:20" ht="15" customHeight="1" x14ac:dyDescent="0.25">
      <c r="A20" s="4" t="s">
        <v>2489</v>
      </c>
      <c r="B20" s="2" t="s">
        <v>2487</v>
      </c>
      <c r="C20" s="2" t="s">
        <v>2488</v>
      </c>
      <c r="D20" s="5" t="s">
        <v>2490</v>
      </c>
      <c r="E20" s="4" t="s">
        <v>2491</v>
      </c>
      <c r="F20" s="6">
        <v>14278836</v>
      </c>
      <c r="G20" s="3">
        <v>14278836</v>
      </c>
      <c r="H20" s="7">
        <v>194753992351</v>
      </c>
      <c r="I20" s="8" t="s">
        <v>2173</v>
      </c>
      <c r="J20" s="4">
        <v>8</v>
      </c>
      <c r="K20" s="9">
        <v>42.5</v>
      </c>
      <c r="L20" s="9">
        <v>340</v>
      </c>
      <c r="M20" s="4" t="s">
        <v>2960</v>
      </c>
      <c r="N20" s="4" t="s">
        <v>2682</v>
      </c>
      <c r="O20" s="4"/>
      <c r="P20" s="4" t="s">
        <v>2866</v>
      </c>
      <c r="Q20" s="4" t="s">
        <v>2913</v>
      </c>
      <c r="R20" s="4"/>
      <c r="S20" s="4"/>
      <c r="T20" s="4" t="str">
        <f>HYPERLINK("http://slimages.macys.com/is/image/MCY/19881309 ")</f>
        <v xml:space="preserve">http://slimages.macys.com/is/image/MCY/19881309 </v>
      </c>
    </row>
    <row r="21" spans="1:20" ht="15" customHeight="1" x14ac:dyDescent="0.25">
      <c r="A21" s="4" t="s">
        <v>2489</v>
      </c>
      <c r="B21" s="2" t="s">
        <v>2487</v>
      </c>
      <c r="C21" s="2" t="s">
        <v>2488</v>
      </c>
      <c r="D21" s="5" t="s">
        <v>2490</v>
      </c>
      <c r="E21" s="4" t="s">
        <v>2491</v>
      </c>
      <c r="F21" s="6">
        <v>14278836</v>
      </c>
      <c r="G21" s="3">
        <v>14278836</v>
      </c>
      <c r="H21" s="7">
        <v>194870573730</v>
      </c>
      <c r="I21" s="8" t="s">
        <v>2174</v>
      </c>
      <c r="J21" s="4">
        <v>3</v>
      </c>
      <c r="K21" s="9">
        <v>35.99</v>
      </c>
      <c r="L21" s="9">
        <v>107.97</v>
      </c>
      <c r="M21" s="4" t="s">
        <v>2175</v>
      </c>
      <c r="N21" s="4" t="s">
        <v>3103</v>
      </c>
      <c r="O21" s="4" t="s">
        <v>2498</v>
      </c>
      <c r="P21" s="4" t="s">
        <v>2619</v>
      </c>
      <c r="Q21" s="4" t="s">
        <v>2681</v>
      </c>
      <c r="R21" s="4"/>
      <c r="S21" s="4"/>
      <c r="T21" s="4" t="str">
        <f>HYPERLINK("http://slimages.macys.com/is/image/MCY/19175294 ")</f>
        <v xml:space="preserve">http://slimages.macys.com/is/image/MCY/19175294 </v>
      </c>
    </row>
    <row r="22" spans="1:20" ht="15" customHeight="1" x14ac:dyDescent="0.25">
      <c r="A22" s="4" t="s">
        <v>2489</v>
      </c>
      <c r="B22" s="2" t="s">
        <v>2487</v>
      </c>
      <c r="C22" s="2" t="s">
        <v>2488</v>
      </c>
      <c r="D22" s="5" t="s">
        <v>2490</v>
      </c>
      <c r="E22" s="4" t="s">
        <v>2491</v>
      </c>
      <c r="F22" s="6">
        <v>14278836</v>
      </c>
      <c r="G22" s="3">
        <v>14278836</v>
      </c>
      <c r="H22" s="7">
        <v>196027072356</v>
      </c>
      <c r="I22" s="8" t="s">
        <v>2176</v>
      </c>
      <c r="J22" s="4">
        <v>4</v>
      </c>
      <c r="K22" s="9">
        <v>19.989999999999998</v>
      </c>
      <c r="L22" s="9">
        <v>79.959999999999994</v>
      </c>
      <c r="M22" s="4" t="s">
        <v>2177</v>
      </c>
      <c r="N22" s="4" t="s">
        <v>2544</v>
      </c>
      <c r="O22" s="4">
        <v>10</v>
      </c>
      <c r="P22" s="4" t="s">
        <v>2569</v>
      </c>
      <c r="Q22" s="4" t="s">
        <v>2590</v>
      </c>
      <c r="R22" s="4"/>
      <c r="S22" s="4"/>
      <c r="T22" s="4" t="str">
        <f>HYPERLINK("http://slimages.macys.com/is/image/MCY/20662571 ")</f>
        <v xml:space="preserve">http://slimages.macys.com/is/image/MCY/20662571 </v>
      </c>
    </row>
    <row r="23" spans="1:20" ht="15" customHeight="1" x14ac:dyDescent="0.25">
      <c r="A23" s="4" t="s">
        <v>2489</v>
      </c>
      <c r="B23" s="2" t="s">
        <v>2487</v>
      </c>
      <c r="C23" s="2" t="s">
        <v>2488</v>
      </c>
      <c r="D23" s="5" t="s">
        <v>2490</v>
      </c>
      <c r="E23" s="4" t="s">
        <v>2491</v>
      </c>
      <c r="F23" s="6">
        <v>14278836</v>
      </c>
      <c r="G23" s="3">
        <v>14278836</v>
      </c>
      <c r="H23" s="7">
        <v>196027015094</v>
      </c>
      <c r="I23" s="8" t="s">
        <v>2178</v>
      </c>
      <c r="J23" s="4">
        <v>4</v>
      </c>
      <c r="K23" s="9">
        <v>27.99</v>
      </c>
      <c r="L23" s="9">
        <v>111.96</v>
      </c>
      <c r="M23" s="4" t="s">
        <v>2179</v>
      </c>
      <c r="N23" s="4" t="s">
        <v>2544</v>
      </c>
      <c r="O23" s="4">
        <v>8</v>
      </c>
      <c r="P23" s="4" t="s">
        <v>2569</v>
      </c>
      <c r="Q23" s="4" t="s">
        <v>2590</v>
      </c>
      <c r="R23" s="4"/>
      <c r="S23" s="4"/>
      <c r="T23" s="4" t="str">
        <f>HYPERLINK("http://slimages.macys.com/is/image/MCY/20662519 ")</f>
        <v xml:space="preserve">http://slimages.macys.com/is/image/MCY/20662519 </v>
      </c>
    </row>
    <row r="24" spans="1:20" ht="15" customHeight="1" x14ac:dyDescent="0.25">
      <c r="A24" s="4" t="s">
        <v>2489</v>
      </c>
      <c r="B24" s="2" t="s">
        <v>2487</v>
      </c>
      <c r="C24" s="2" t="s">
        <v>2488</v>
      </c>
      <c r="D24" s="5" t="s">
        <v>2490</v>
      </c>
      <c r="E24" s="4" t="s">
        <v>2491</v>
      </c>
      <c r="F24" s="6">
        <v>14278836</v>
      </c>
      <c r="G24" s="3">
        <v>14278836</v>
      </c>
      <c r="H24" s="7">
        <v>733002930319</v>
      </c>
      <c r="I24" s="8" t="s">
        <v>2180</v>
      </c>
      <c r="J24" s="4">
        <v>1</v>
      </c>
      <c r="K24" s="9">
        <v>6.99</v>
      </c>
      <c r="L24" s="9">
        <v>6.99</v>
      </c>
      <c r="M24" s="4" t="s">
        <v>2942</v>
      </c>
      <c r="N24" s="4" t="s">
        <v>2567</v>
      </c>
      <c r="O24" s="4" t="s">
        <v>2498</v>
      </c>
      <c r="P24" s="4" t="s">
        <v>2543</v>
      </c>
      <c r="Q24" s="4" t="s">
        <v>2528</v>
      </c>
      <c r="R24" s="4"/>
      <c r="S24" s="4"/>
      <c r="T24" s="4" t="str">
        <f>HYPERLINK("http://slimages.macys.com/is/image/MCY/19252875 ")</f>
        <v xml:space="preserve">http://slimages.macys.com/is/image/MCY/19252875 </v>
      </c>
    </row>
    <row r="25" spans="1:20" ht="15" customHeight="1" x14ac:dyDescent="0.25">
      <c r="A25" s="4" t="s">
        <v>2489</v>
      </c>
      <c r="B25" s="2" t="s">
        <v>2487</v>
      </c>
      <c r="C25" s="2" t="s">
        <v>2488</v>
      </c>
      <c r="D25" s="5" t="s">
        <v>2490</v>
      </c>
      <c r="E25" s="4" t="s">
        <v>2491</v>
      </c>
      <c r="F25" s="6">
        <v>14278836</v>
      </c>
      <c r="G25" s="3">
        <v>14278836</v>
      </c>
      <c r="H25" s="7">
        <v>733002285945</v>
      </c>
      <c r="I25" s="8" t="s">
        <v>2181</v>
      </c>
      <c r="J25" s="4">
        <v>1</v>
      </c>
      <c r="K25" s="9">
        <v>5.99</v>
      </c>
      <c r="L25" s="9">
        <v>5.99</v>
      </c>
      <c r="M25" s="4" t="s">
        <v>2727</v>
      </c>
      <c r="N25" s="4" t="s">
        <v>2523</v>
      </c>
      <c r="O25" s="4" t="s">
        <v>2587</v>
      </c>
      <c r="P25" s="4" t="s">
        <v>2520</v>
      </c>
      <c r="Q25" s="4" t="s">
        <v>2528</v>
      </c>
      <c r="R25" s="4"/>
      <c r="S25" s="4"/>
      <c r="T25" s="4" t="str">
        <f>HYPERLINK("http://slimages.macys.com/is/image/MCY/21099931 ")</f>
        <v xml:space="preserve">http://slimages.macys.com/is/image/MCY/21099931 </v>
      </c>
    </row>
    <row r="26" spans="1:20" ht="15" customHeight="1" x14ac:dyDescent="0.25">
      <c r="A26" s="4" t="s">
        <v>2489</v>
      </c>
      <c r="B26" s="2" t="s">
        <v>2487</v>
      </c>
      <c r="C26" s="2" t="s">
        <v>2488</v>
      </c>
      <c r="D26" s="5" t="s">
        <v>2490</v>
      </c>
      <c r="E26" s="4" t="s">
        <v>2491</v>
      </c>
      <c r="F26" s="6">
        <v>14278836</v>
      </c>
      <c r="G26" s="3">
        <v>14278836</v>
      </c>
      <c r="H26" s="7">
        <v>733004523861</v>
      </c>
      <c r="I26" s="8" t="s">
        <v>2182</v>
      </c>
      <c r="J26" s="4">
        <v>1</v>
      </c>
      <c r="K26" s="9">
        <v>7.99</v>
      </c>
      <c r="L26" s="9">
        <v>7.99</v>
      </c>
      <c r="M26" s="4" t="s">
        <v>3301</v>
      </c>
      <c r="N26" s="4" t="s">
        <v>2600</v>
      </c>
      <c r="O26" s="4" t="s">
        <v>2628</v>
      </c>
      <c r="P26" s="4" t="s">
        <v>2602</v>
      </c>
      <c r="Q26" s="4" t="s">
        <v>2528</v>
      </c>
      <c r="R26" s="4"/>
      <c r="S26" s="4"/>
      <c r="T26" s="4" t="str">
        <f>HYPERLINK("http://slimages.macys.com/is/image/MCY/20168204 ")</f>
        <v xml:space="preserve">http://slimages.macys.com/is/image/MCY/20168204 </v>
      </c>
    </row>
    <row r="27" spans="1:20" ht="15" customHeight="1" x14ac:dyDescent="0.25">
      <c r="A27" s="4" t="s">
        <v>2489</v>
      </c>
      <c r="B27" s="2" t="s">
        <v>2487</v>
      </c>
      <c r="C27" s="2" t="s">
        <v>2488</v>
      </c>
      <c r="D27" s="5" t="s">
        <v>2490</v>
      </c>
      <c r="E27" s="4" t="s">
        <v>2491</v>
      </c>
      <c r="F27" s="6">
        <v>14278836</v>
      </c>
      <c r="G27" s="3">
        <v>14278836</v>
      </c>
      <c r="H27" s="7">
        <v>194257553843</v>
      </c>
      <c r="I27" s="8" t="s">
        <v>2183</v>
      </c>
      <c r="J27" s="4">
        <v>1</v>
      </c>
      <c r="K27" s="9">
        <v>13.99</v>
      </c>
      <c r="L27" s="9">
        <v>13.99</v>
      </c>
      <c r="M27" s="4" t="s">
        <v>3293</v>
      </c>
      <c r="N27" s="4" t="s">
        <v>2614</v>
      </c>
      <c r="O27" s="4" t="s">
        <v>2705</v>
      </c>
      <c r="P27" s="4" t="s">
        <v>2499</v>
      </c>
      <c r="Q27" s="4" t="s">
        <v>2525</v>
      </c>
      <c r="R27" s="4"/>
      <c r="S27" s="4"/>
      <c r="T27" s="4" t="str">
        <f>HYPERLINK("http://slimages.macys.com/is/image/MCY/19764486 ")</f>
        <v xml:space="preserve">http://slimages.macys.com/is/image/MCY/19764486 </v>
      </c>
    </row>
    <row r="28" spans="1:20" ht="15" customHeight="1" x14ac:dyDescent="0.25">
      <c r="A28" s="4" t="s">
        <v>2489</v>
      </c>
      <c r="B28" s="2" t="s">
        <v>2487</v>
      </c>
      <c r="C28" s="2" t="s">
        <v>2488</v>
      </c>
      <c r="D28" s="5" t="s">
        <v>2490</v>
      </c>
      <c r="E28" s="4" t="s">
        <v>2491</v>
      </c>
      <c r="F28" s="6">
        <v>14278836</v>
      </c>
      <c r="G28" s="3">
        <v>14278836</v>
      </c>
      <c r="H28" s="7">
        <v>194257553881</v>
      </c>
      <c r="I28" s="8" t="s">
        <v>3312</v>
      </c>
      <c r="J28" s="4">
        <v>1</v>
      </c>
      <c r="K28" s="9">
        <v>13.99</v>
      </c>
      <c r="L28" s="9">
        <v>13.99</v>
      </c>
      <c r="M28" s="4" t="s">
        <v>3293</v>
      </c>
      <c r="N28" s="4" t="s">
        <v>2614</v>
      </c>
      <c r="O28" s="4">
        <v>6</v>
      </c>
      <c r="P28" s="4" t="s">
        <v>2499</v>
      </c>
      <c r="Q28" s="4" t="s">
        <v>2525</v>
      </c>
      <c r="R28" s="4"/>
      <c r="S28" s="4"/>
      <c r="T28" s="4" t="str">
        <f>HYPERLINK("http://slimages.macys.com/is/image/MCY/19764485 ")</f>
        <v xml:space="preserve">http://slimages.macys.com/is/image/MCY/19764485 </v>
      </c>
    </row>
    <row r="29" spans="1:20" ht="15" customHeight="1" x14ac:dyDescent="0.25">
      <c r="A29" s="4" t="s">
        <v>2489</v>
      </c>
      <c r="B29" s="2" t="s">
        <v>2487</v>
      </c>
      <c r="C29" s="2" t="s">
        <v>2488</v>
      </c>
      <c r="D29" s="5" t="s">
        <v>2490</v>
      </c>
      <c r="E29" s="4" t="s">
        <v>2491</v>
      </c>
      <c r="F29" s="6">
        <v>14278836</v>
      </c>
      <c r="G29" s="3">
        <v>14278836</v>
      </c>
      <c r="H29" s="7">
        <v>194133181832</v>
      </c>
      <c r="I29" s="8" t="s">
        <v>2184</v>
      </c>
      <c r="J29" s="4">
        <v>1</v>
      </c>
      <c r="K29" s="9">
        <v>14.55</v>
      </c>
      <c r="L29" s="9">
        <v>14.55</v>
      </c>
      <c r="M29" s="4" t="s">
        <v>2185</v>
      </c>
      <c r="N29" s="4" t="s">
        <v>2518</v>
      </c>
      <c r="O29" s="4" t="s">
        <v>2597</v>
      </c>
      <c r="P29" s="4" t="s">
        <v>2494</v>
      </c>
      <c r="Q29" s="4" t="s">
        <v>2495</v>
      </c>
      <c r="R29" s="4"/>
      <c r="S29" s="4"/>
      <c r="T29" s="4" t="str">
        <f>HYPERLINK("http://slimages.macys.com/is/image/MCY/17269495 ")</f>
        <v xml:space="preserve">http://slimages.macys.com/is/image/MCY/17269495 </v>
      </c>
    </row>
    <row r="30" spans="1:20" ht="15" customHeight="1" x14ac:dyDescent="0.25">
      <c r="A30" s="4" t="s">
        <v>2489</v>
      </c>
      <c r="B30" s="2" t="s">
        <v>2487</v>
      </c>
      <c r="C30" s="2" t="s">
        <v>2488</v>
      </c>
      <c r="D30" s="5" t="s">
        <v>2490</v>
      </c>
      <c r="E30" s="4" t="s">
        <v>2491</v>
      </c>
      <c r="F30" s="6">
        <v>14278836</v>
      </c>
      <c r="G30" s="3">
        <v>14278836</v>
      </c>
      <c r="H30" s="7">
        <v>762120020268</v>
      </c>
      <c r="I30" s="8" t="s">
        <v>2186</v>
      </c>
      <c r="J30" s="4">
        <v>1</v>
      </c>
      <c r="K30" s="9">
        <v>6.99</v>
      </c>
      <c r="L30" s="9">
        <v>6.99</v>
      </c>
      <c r="M30" s="4" t="s">
        <v>3235</v>
      </c>
      <c r="N30" s="4" t="s">
        <v>2565</v>
      </c>
      <c r="O30" s="4" t="s">
        <v>2566</v>
      </c>
      <c r="P30" s="4" t="s">
        <v>2503</v>
      </c>
      <c r="Q30" s="4" t="s">
        <v>2504</v>
      </c>
      <c r="R30" s="4"/>
      <c r="S30" s="4"/>
      <c r="T30" s="4" t="str">
        <f>HYPERLINK("http://slimages.macys.com/is/image/MCY/20436495 ")</f>
        <v xml:space="preserve">http://slimages.macys.com/is/image/MCY/20436495 </v>
      </c>
    </row>
    <row r="31" spans="1:20" ht="15" customHeight="1" x14ac:dyDescent="0.25">
      <c r="A31" s="4" t="s">
        <v>2489</v>
      </c>
      <c r="B31" s="2" t="s">
        <v>2487</v>
      </c>
      <c r="C31" s="2" t="s">
        <v>2488</v>
      </c>
      <c r="D31" s="5" t="s">
        <v>2490</v>
      </c>
      <c r="E31" s="4" t="s">
        <v>2491</v>
      </c>
      <c r="F31" s="6">
        <v>14278836</v>
      </c>
      <c r="G31" s="3">
        <v>14278836</v>
      </c>
      <c r="H31" s="7">
        <v>194135448360</v>
      </c>
      <c r="I31" s="8" t="s">
        <v>2187</v>
      </c>
      <c r="J31" s="4">
        <v>1</v>
      </c>
      <c r="K31" s="9">
        <v>9.1</v>
      </c>
      <c r="L31" s="9">
        <v>9.1</v>
      </c>
      <c r="M31" s="4" t="s">
        <v>2188</v>
      </c>
      <c r="N31" s="4" t="s">
        <v>2508</v>
      </c>
      <c r="O31" s="4" t="s">
        <v>2597</v>
      </c>
      <c r="P31" s="4" t="s">
        <v>2494</v>
      </c>
      <c r="Q31" s="4" t="s">
        <v>2495</v>
      </c>
      <c r="R31" s="4"/>
      <c r="S31" s="4"/>
      <c r="T31" s="4" t="str">
        <f>HYPERLINK("http://slimages.macys.com/is/image/MCY/19836464 ")</f>
        <v xml:space="preserve">http://slimages.macys.com/is/image/MCY/19836464 </v>
      </c>
    </row>
    <row r="32" spans="1:20" ht="15" customHeight="1" x14ac:dyDescent="0.25">
      <c r="A32" s="4" t="s">
        <v>2489</v>
      </c>
      <c r="B32" s="2" t="s">
        <v>2487</v>
      </c>
      <c r="C32" s="2" t="s">
        <v>2488</v>
      </c>
      <c r="D32" s="5" t="s">
        <v>2490</v>
      </c>
      <c r="E32" s="4" t="s">
        <v>2491</v>
      </c>
      <c r="F32" s="6">
        <v>14278836</v>
      </c>
      <c r="G32" s="3">
        <v>14278836</v>
      </c>
      <c r="H32" s="7">
        <v>733003643218</v>
      </c>
      <c r="I32" s="8" t="s">
        <v>2189</v>
      </c>
      <c r="J32" s="4">
        <v>1</v>
      </c>
      <c r="K32" s="9">
        <v>21.99</v>
      </c>
      <c r="L32" s="9">
        <v>21.99</v>
      </c>
      <c r="M32" s="4" t="s">
        <v>2113</v>
      </c>
      <c r="N32" s="4" t="s">
        <v>2523</v>
      </c>
      <c r="O32" s="4" t="s">
        <v>2498</v>
      </c>
      <c r="P32" s="4" t="s">
        <v>2515</v>
      </c>
      <c r="Q32" s="4" t="s">
        <v>2516</v>
      </c>
      <c r="R32" s="4"/>
      <c r="S32" s="4"/>
      <c r="T32" s="4" t="str">
        <f>HYPERLINK("http://slimages.macys.com/is/image/MCY/20143256 ")</f>
        <v xml:space="preserve">http://slimages.macys.com/is/image/MCY/20143256 </v>
      </c>
    </row>
    <row r="33" spans="1:20" ht="15" customHeight="1" x14ac:dyDescent="0.25">
      <c r="A33" s="4" t="s">
        <v>2489</v>
      </c>
      <c r="B33" s="2" t="s">
        <v>2487</v>
      </c>
      <c r="C33" s="2" t="s">
        <v>2488</v>
      </c>
      <c r="D33" s="5" t="s">
        <v>2490</v>
      </c>
      <c r="E33" s="4" t="s">
        <v>2491</v>
      </c>
      <c r="F33" s="6">
        <v>14278836</v>
      </c>
      <c r="G33" s="3">
        <v>14278836</v>
      </c>
      <c r="H33" s="7">
        <v>762120263306</v>
      </c>
      <c r="I33" s="8" t="s">
        <v>3386</v>
      </c>
      <c r="J33" s="4">
        <v>1</v>
      </c>
      <c r="K33" s="9">
        <v>13.99</v>
      </c>
      <c r="L33" s="9">
        <v>13.99</v>
      </c>
      <c r="M33" s="4" t="s">
        <v>3033</v>
      </c>
      <c r="N33" s="4" t="s">
        <v>2514</v>
      </c>
      <c r="O33" s="4" t="s">
        <v>2671</v>
      </c>
      <c r="P33" s="4" t="s">
        <v>2543</v>
      </c>
      <c r="Q33" s="4" t="s">
        <v>2528</v>
      </c>
      <c r="R33" s="4"/>
      <c r="S33" s="4"/>
      <c r="T33" s="4" t="str">
        <f>HYPERLINK("http://slimages.macys.com/is/image/MCY/20846556 ")</f>
        <v xml:space="preserve">http://slimages.macys.com/is/image/MCY/20846556 </v>
      </c>
    </row>
    <row r="34" spans="1:20" ht="15" customHeight="1" x14ac:dyDescent="0.25">
      <c r="A34" s="4" t="s">
        <v>2489</v>
      </c>
      <c r="B34" s="2" t="s">
        <v>2487</v>
      </c>
      <c r="C34" s="2" t="s">
        <v>2488</v>
      </c>
      <c r="D34" s="5" t="s">
        <v>2490</v>
      </c>
      <c r="E34" s="4" t="s">
        <v>2491</v>
      </c>
      <c r="F34" s="6">
        <v>14278836</v>
      </c>
      <c r="G34" s="3">
        <v>14278836</v>
      </c>
      <c r="H34" s="7">
        <v>192042759241</v>
      </c>
      <c r="I34" s="8" t="s">
        <v>2190</v>
      </c>
      <c r="J34" s="4">
        <v>1</v>
      </c>
      <c r="K34" s="9">
        <v>12</v>
      </c>
      <c r="L34" s="9">
        <v>12</v>
      </c>
      <c r="M34" s="4" t="s">
        <v>2191</v>
      </c>
      <c r="N34" s="4" t="s">
        <v>2523</v>
      </c>
      <c r="O34" s="4"/>
      <c r="P34" s="4" t="s">
        <v>2622</v>
      </c>
      <c r="Q34" s="4" t="s">
        <v>2623</v>
      </c>
      <c r="R34" s="4" t="s">
        <v>2552</v>
      </c>
      <c r="S34" s="4" t="s">
        <v>2721</v>
      </c>
      <c r="T34" s="4" t="str">
        <f>HYPERLINK("http://slimages.macys.com/is/image/MCY/12953572 ")</f>
        <v xml:space="preserve">http://slimages.macys.com/is/image/MCY/12953572 </v>
      </c>
    </row>
    <row r="35" spans="1:20" ht="15" customHeight="1" x14ac:dyDescent="0.25">
      <c r="A35" s="4" t="s">
        <v>2489</v>
      </c>
      <c r="B35" s="2" t="s">
        <v>2487</v>
      </c>
      <c r="C35" s="2" t="s">
        <v>2488</v>
      </c>
      <c r="D35" s="5" t="s">
        <v>2490</v>
      </c>
      <c r="E35" s="4" t="s">
        <v>2491</v>
      </c>
      <c r="F35" s="6">
        <v>14278836</v>
      </c>
      <c r="G35" s="3">
        <v>14278836</v>
      </c>
      <c r="H35" s="7">
        <v>195883922829</v>
      </c>
      <c r="I35" s="8" t="s">
        <v>2192</v>
      </c>
      <c r="J35" s="4">
        <v>1</v>
      </c>
      <c r="K35" s="9">
        <v>8.31</v>
      </c>
      <c r="L35" s="9">
        <v>8.31</v>
      </c>
      <c r="M35" s="4" t="s">
        <v>3228</v>
      </c>
      <c r="N35" s="4" t="s">
        <v>2632</v>
      </c>
      <c r="O35" s="4">
        <v>3</v>
      </c>
      <c r="P35" s="4" t="s">
        <v>2506</v>
      </c>
      <c r="Q35" s="4" t="s">
        <v>2527</v>
      </c>
      <c r="R35" s="4"/>
      <c r="S35" s="4"/>
      <c r="T35" s="4" t="str">
        <f>HYPERLINK("http://slimages.macys.com/is/image/MCY/20876630 ")</f>
        <v xml:space="preserve">http://slimages.macys.com/is/image/MCY/20876630 </v>
      </c>
    </row>
    <row r="36" spans="1:20" ht="15" customHeight="1" x14ac:dyDescent="0.25">
      <c r="A36" s="4" t="s">
        <v>2489</v>
      </c>
      <c r="B36" s="2" t="s">
        <v>2487</v>
      </c>
      <c r="C36" s="2" t="s">
        <v>2488</v>
      </c>
      <c r="D36" s="5" t="s">
        <v>2490</v>
      </c>
      <c r="E36" s="4" t="s">
        <v>2491</v>
      </c>
      <c r="F36" s="6">
        <v>14278836</v>
      </c>
      <c r="G36" s="3">
        <v>14278836</v>
      </c>
      <c r="H36" s="7">
        <v>762120162364</v>
      </c>
      <c r="I36" s="8" t="s">
        <v>3240</v>
      </c>
      <c r="J36" s="4">
        <v>1</v>
      </c>
      <c r="K36" s="9">
        <v>11.99</v>
      </c>
      <c r="L36" s="9">
        <v>11.99</v>
      </c>
      <c r="M36" s="4" t="s">
        <v>2631</v>
      </c>
      <c r="N36" s="4" t="s">
        <v>2632</v>
      </c>
      <c r="O36" s="4" t="s">
        <v>2629</v>
      </c>
      <c r="P36" s="4" t="s">
        <v>2602</v>
      </c>
      <c r="Q36" s="4" t="s">
        <v>2528</v>
      </c>
      <c r="R36" s="4"/>
      <c r="S36" s="4"/>
      <c r="T36" s="4" t="str">
        <f>HYPERLINK("http://slimages.macys.com/is/image/MCY/20819683 ")</f>
        <v xml:space="preserve">http://slimages.macys.com/is/image/MCY/20819683 </v>
      </c>
    </row>
    <row r="37" spans="1:20" ht="15" customHeight="1" x14ac:dyDescent="0.25">
      <c r="A37" s="4" t="s">
        <v>2489</v>
      </c>
      <c r="B37" s="2" t="s">
        <v>2487</v>
      </c>
      <c r="C37" s="2" t="s">
        <v>2488</v>
      </c>
      <c r="D37" s="5" t="s">
        <v>2490</v>
      </c>
      <c r="E37" s="4" t="s">
        <v>2491</v>
      </c>
      <c r="F37" s="6">
        <v>14278836</v>
      </c>
      <c r="G37" s="3">
        <v>14278836</v>
      </c>
      <c r="H37" s="7">
        <v>194870574867</v>
      </c>
      <c r="I37" s="8" t="s">
        <v>3040</v>
      </c>
      <c r="J37" s="4">
        <v>1</v>
      </c>
      <c r="K37" s="9">
        <v>25.99</v>
      </c>
      <c r="L37" s="9">
        <v>25.99</v>
      </c>
      <c r="M37" s="4" t="s">
        <v>3041</v>
      </c>
      <c r="N37" s="4" t="s">
        <v>2535</v>
      </c>
      <c r="O37" s="4" t="s">
        <v>2555</v>
      </c>
      <c r="P37" s="4" t="s">
        <v>2619</v>
      </c>
      <c r="Q37" s="4" t="s">
        <v>2681</v>
      </c>
      <c r="R37" s="4"/>
      <c r="S37" s="4"/>
      <c r="T37" s="4" t="str">
        <f>HYPERLINK("http://slimages.macys.com/is/image/MCY/19943236 ")</f>
        <v xml:space="preserve">http://slimages.macys.com/is/image/MCY/19943236 </v>
      </c>
    </row>
    <row r="38" spans="1:20" ht="15" customHeight="1" x14ac:dyDescent="0.25">
      <c r="A38" s="4" t="s">
        <v>2489</v>
      </c>
      <c r="B38" s="2" t="s">
        <v>2487</v>
      </c>
      <c r="C38" s="2" t="s">
        <v>2488</v>
      </c>
      <c r="D38" s="5" t="s">
        <v>2490</v>
      </c>
      <c r="E38" s="4" t="s">
        <v>2491</v>
      </c>
      <c r="F38" s="6">
        <v>14278836</v>
      </c>
      <c r="G38" s="3">
        <v>14278836</v>
      </c>
      <c r="H38" s="7">
        <v>666980513895</v>
      </c>
      <c r="I38" s="8" t="s">
        <v>2193</v>
      </c>
      <c r="J38" s="4">
        <v>1</v>
      </c>
      <c r="K38" s="9">
        <v>12.28</v>
      </c>
      <c r="L38" s="9">
        <v>12.28</v>
      </c>
      <c r="M38" s="4" t="s">
        <v>2083</v>
      </c>
      <c r="N38" s="4" t="s">
        <v>2501</v>
      </c>
      <c r="O38" s="4"/>
      <c r="P38" s="4" t="s">
        <v>2622</v>
      </c>
      <c r="Q38" s="4" t="s">
        <v>2623</v>
      </c>
      <c r="R38" s="4" t="s">
        <v>2552</v>
      </c>
      <c r="S38" s="4" t="s">
        <v>2624</v>
      </c>
      <c r="T38" s="4" t="str">
        <f>HYPERLINK("http://slimages.macys.com/is/image/MCY/13987388 ")</f>
        <v xml:space="preserve">http://slimages.macys.com/is/image/MCY/13987388 </v>
      </c>
    </row>
    <row r="39" spans="1:20" ht="15" customHeight="1" x14ac:dyDescent="0.25">
      <c r="A39" s="4" t="s">
        <v>2489</v>
      </c>
      <c r="B39" s="2" t="s">
        <v>2487</v>
      </c>
      <c r="C39" s="2" t="s">
        <v>2488</v>
      </c>
      <c r="D39" s="5" t="s">
        <v>2490</v>
      </c>
      <c r="E39" s="4" t="s">
        <v>2491</v>
      </c>
      <c r="F39" s="6">
        <v>14278836</v>
      </c>
      <c r="G39" s="3">
        <v>14278836</v>
      </c>
      <c r="H39" s="7">
        <v>696114431481</v>
      </c>
      <c r="I39" s="8" t="s">
        <v>1913</v>
      </c>
      <c r="J39" s="4">
        <v>1</v>
      </c>
      <c r="K39" s="9">
        <v>19.989999999999998</v>
      </c>
      <c r="L39" s="9">
        <v>19.989999999999998</v>
      </c>
      <c r="M39" s="4" t="s">
        <v>2194</v>
      </c>
      <c r="N39" s="4" t="s">
        <v>2523</v>
      </c>
      <c r="O39" s="4" t="s">
        <v>2817</v>
      </c>
      <c r="P39" s="4" t="s">
        <v>2569</v>
      </c>
      <c r="Q39" s="4" t="s">
        <v>2679</v>
      </c>
      <c r="R39" s="4"/>
      <c r="S39" s="4"/>
      <c r="T39" s="4" t="str">
        <f>HYPERLINK("http://slimages.macys.com/is/image/MCY/20426375 ")</f>
        <v xml:space="preserve">http://slimages.macys.com/is/image/MCY/20426375 </v>
      </c>
    </row>
    <row r="40" spans="1:20" ht="15" customHeight="1" x14ac:dyDescent="0.25">
      <c r="A40" s="4" t="s">
        <v>2489</v>
      </c>
      <c r="B40" s="2" t="s">
        <v>2487</v>
      </c>
      <c r="C40" s="2" t="s">
        <v>2488</v>
      </c>
      <c r="D40" s="5" t="s">
        <v>2490</v>
      </c>
      <c r="E40" s="4" t="s">
        <v>2491</v>
      </c>
      <c r="F40" s="6">
        <v>14278836</v>
      </c>
      <c r="G40" s="3">
        <v>14278836</v>
      </c>
      <c r="H40" s="7">
        <v>195958006096</v>
      </c>
      <c r="I40" s="8" t="s">
        <v>2195</v>
      </c>
      <c r="J40" s="4">
        <v>5</v>
      </c>
      <c r="K40" s="9">
        <v>39.5</v>
      </c>
      <c r="L40" s="9">
        <v>197.5</v>
      </c>
      <c r="M40" s="4" t="s">
        <v>2196</v>
      </c>
      <c r="N40" s="4" t="s">
        <v>2501</v>
      </c>
      <c r="O40" s="4"/>
      <c r="P40" s="4" t="s">
        <v>2866</v>
      </c>
      <c r="Q40" s="4" t="s">
        <v>2656</v>
      </c>
      <c r="R40" s="4"/>
      <c r="S40" s="4"/>
      <c r="T40" s="4" t="str">
        <f>HYPERLINK("http://slimages.macys.com/is/image/MCY/20158455 ")</f>
        <v xml:space="preserve">http://slimages.macys.com/is/image/MCY/20158455 </v>
      </c>
    </row>
    <row r="41" spans="1:20" ht="15" customHeight="1" x14ac:dyDescent="0.25">
      <c r="A41" s="4" t="s">
        <v>2489</v>
      </c>
      <c r="B41" s="2" t="s">
        <v>2487</v>
      </c>
      <c r="C41" s="2" t="s">
        <v>2488</v>
      </c>
      <c r="D41" s="5" t="s">
        <v>2490</v>
      </c>
      <c r="E41" s="4" t="s">
        <v>2491</v>
      </c>
      <c r="F41" s="6">
        <v>14278836</v>
      </c>
      <c r="G41" s="3">
        <v>14278836</v>
      </c>
      <c r="H41" s="7">
        <v>196027053492</v>
      </c>
      <c r="I41" s="8" t="s">
        <v>2990</v>
      </c>
      <c r="J41" s="4">
        <v>4</v>
      </c>
      <c r="K41" s="9">
        <v>27.99</v>
      </c>
      <c r="L41" s="9">
        <v>111.96</v>
      </c>
      <c r="M41" s="4" t="s">
        <v>2991</v>
      </c>
      <c r="N41" s="4" t="s">
        <v>2544</v>
      </c>
      <c r="O41" s="4">
        <v>4</v>
      </c>
      <c r="P41" s="4" t="s">
        <v>2569</v>
      </c>
      <c r="Q41" s="4" t="s">
        <v>2570</v>
      </c>
      <c r="R41" s="4"/>
      <c r="S41" s="4"/>
      <c r="T41" s="4" t="str">
        <f>HYPERLINK("http://slimages.macys.com/is/image/MCY/20662521 ")</f>
        <v xml:space="preserve">http://slimages.macys.com/is/image/MCY/20662521 </v>
      </c>
    </row>
    <row r="42" spans="1:20" ht="15" customHeight="1" x14ac:dyDescent="0.25">
      <c r="A42" s="4" t="s">
        <v>2489</v>
      </c>
      <c r="B42" s="2" t="s">
        <v>2487</v>
      </c>
      <c r="C42" s="2" t="s">
        <v>2488</v>
      </c>
      <c r="D42" s="5" t="s">
        <v>2490</v>
      </c>
      <c r="E42" s="4" t="s">
        <v>2491</v>
      </c>
      <c r="F42" s="6">
        <v>14278836</v>
      </c>
      <c r="G42" s="3">
        <v>14278836</v>
      </c>
      <c r="H42" s="7">
        <v>48283004377</v>
      </c>
      <c r="I42" s="8" t="s">
        <v>2197</v>
      </c>
      <c r="J42" s="4">
        <v>1</v>
      </c>
      <c r="K42" s="9">
        <v>12.28</v>
      </c>
      <c r="L42" s="9">
        <v>12.28</v>
      </c>
      <c r="M42" s="4" t="s">
        <v>2083</v>
      </c>
      <c r="N42" s="4" t="s">
        <v>2980</v>
      </c>
      <c r="O42" s="4" t="s">
        <v>2519</v>
      </c>
      <c r="P42" s="4" t="s">
        <v>2622</v>
      </c>
      <c r="Q42" s="4" t="s">
        <v>2623</v>
      </c>
      <c r="R42" s="4" t="s">
        <v>2552</v>
      </c>
      <c r="S42" s="4" t="s">
        <v>2624</v>
      </c>
      <c r="T42" s="4" t="str">
        <f>HYPERLINK("http://slimages.macys.com/is/image/MCY/13987388 ")</f>
        <v xml:space="preserve">http://slimages.macys.com/is/image/MCY/13987388 </v>
      </c>
    </row>
    <row r="43" spans="1:20" ht="15" customHeight="1" x14ac:dyDescent="0.25">
      <c r="A43" s="4" t="s">
        <v>2489</v>
      </c>
      <c r="B43" s="2" t="s">
        <v>2487</v>
      </c>
      <c r="C43" s="2" t="s">
        <v>2488</v>
      </c>
      <c r="D43" s="5" t="s">
        <v>2490</v>
      </c>
      <c r="E43" s="4" t="s">
        <v>2491</v>
      </c>
      <c r="F43" s="6">
        <v>14278836</v>
      </c>
      <c r="G43" s="3">
        <v>14278836</v>
      </c>
      <c r="H43" s="7">
        <v>733004745621</v>
      </c>
      <c r="I43" s="8" t="s">
        <v>2823</v>
      </c>
      <c r="J43" s="4">
        <v>2</v>
      </c>
      <c r="K43" s="9">
        <v>6.99</v>
      </c>
      <c r="L43" s="9">
        <v>13.98</v>
      </c>
      <c r="M43" s="4" t="s">
        <v>2824</v>
      </c>
      <c r="N43" s="4" t="s">
        <v>2531</v>
      </c>
      <c r="O43" s="4" t="s">
        <v>2559</v>
      </c>
      <c r="P43" s="4" t="s">
        <v>2503</v>
      </c>
      <c r="Q43" s="4" t="s">
        <v>2504</v>
      </c>
      <c r="R43" s="4"/>
      <c r="S43" s="4"/>
      <c r="T43" s="4" t="str">
        <f>HYPERLINK("http://slimages.macys.com/is/image/MCY/19977363 ")</f>
        <v xml:space="preserve">http://slimages.macys.com/is/image/MCY/19977363 </v>
      </c>
    </row>
    <row r="44" spans="1:20" ht="15" customHeight="1" x14ac:dyDescent="0.25">
      <c r="A44" s="4" t="s">
        <v>2489</v>
      </c>
      <c r="B44" s="2" t="s">
        <v>2487</v>
      </c>
      <c r="C44" s="2" t="s">
        <v>2488</v>
      </c>
      <c r="D44" s="5" t="s">
        <v>2490</v>
      </c>
      <c r="E44" s="4" t="s">
        <v>2491</v>
      </c>
      <c r="F44" s="6">
        <v>14278836</v>
      </c>
      <c r="G44" s="3">
        <v>14278836</v>
      </c>
      <c r="H44" s="7">
        <v>733003919313</v>
      </c>
      <c r="I44" s="8" t="s">
        <v>2198</v>
      </c>
      <c r="J44" s="4">
        <v>1</v>
      </c>
      <c r="K44" s="9">
        <v>10.99</v>
      </c>
      <c r="L44" s="9">
        <v>10.99</v>
      </c>
      <c r="M44" s="4" t="s">
        <v>2199</v>
      </c>
      <c r="N44" s="4" t="s">
        <v>2505</v>
      </c>
      <c r="O44" s="4" t="s">
        <v>2607</v>
      </c>
      <c r="P44" s="4" t="s">
        <v>2503</v>
      </c>
      <c r="Q44" s="4" t="s">
        <v>2504</v>
      </c>
      <c r="R44" s="4"/>
      <c r="S44" s="4"/>
      <c r="T44" s="4" t="str">
        <f>HYPERLINK("http://slimages.macys.com/is/image/MCY/19510648 ")</f>
        <v xml:space="preserve">http://slimages.macys.com/is/image/MCY/19510648 </v>
      </c>
    </row>
    <row r="45" spans="1:20" ht="15" customHeight="1" x14ac:dyDescent="0.25">
      <c r="A45" s="4" t="s">
        <v>2489</v>
      </c>
      <c r="B45" s="2" t="s">
        <v>2487</v>
      </c>
      <c r="C45" s="2" t="s">
        <v>2488</v>
      </c>
      <c r="D45" s="5" t="s">
        <v>2490</v>
      </c>
      <c r="E45" s="4" t="s">
        <v>2491</v>
      </c>
      <c r="F45" s="6">
        <v>14278836</v>
      </c>
      <c r="G45" s="3">
        <v>14278836</v>
      </c>
      <c r="H45" s="7">
        <v>733003926670</v>
      </c>
      <c r="I45" s="8" t="s">
        <v>3225</v>
      </c>
      <c r="J45" s="4">
        <v>1</v>
      </c>
      <c r="K45" s="9">
        <v>6.99</v>
      </c>
      <c r="L45" s="9">
        <v>6.99</v>
      </c>
      <c r="M45" s="4" t="s">
        <v>2941</v>
      </c>
      <c r="N45" s="4" t="s">
        <v>2682</v>
      </c>
      <c r="O45" s="4" t="s">
        <v>2559</v>
      </c>
      <c r="P45" s="4" t="s">
        <v>2503</v>
      </c>
      <c r="Q45" s="4" t="s">
        <v>2504</v>
      </c>
      <c r="R45" s="4"/>
      <c r="S45" s="4"/>
      <c r="T45" s="4" t="str">
        <f>HYPERLINK("http://slimages.macys.com/is/image/MCY/19507809 ")</f>
        <v xml:space="preserve">http://slimages.macys.com/is/image/MCY/19507809 </v>
      </c>
    </row>
    <row r="46" spans="1:20" ht="15" customHeight="1" x14ac:dyDescent="0.25">
      <c r="A46" s="4" t="s">
        <v>2489</v>
      </c>
      <c r="B46" s="2" t="s">
        <v>2487</v>
      </c>
      <c r="C46" s="2" t="s">
        <v>2488</v>
      </c>
      <c r="D46" s="5" t="s">
        <v>2490</v>
      </c>
      <c r="E46" s="4" t="s">
        <v>2491</v>
      </c>
      <c r="F46" s="6">
        <v>14278836</v>
      </c>
      <c r="G46" s="3">
        <v>14278836</v>
      </c>
      <c r="H46" s="7">
        <v>195883642178</v>
      </c>
      <c r="I46" s="8" t="s">
        <v>2200</v>
      </c>
      <c r="J46" s="4">
        <v>1</v>
      </c>
      <c r="K46" s="9">
        <v>5.99</v>
      </c>
      <c r="L46" s="9">
        <v>5.99</v>
      </c>
      <c r="M46" s="4" t="s">
        <v>2201</v>
      </c>
      <c r="N46" s="4" t="s">
        <v>2505</v>
      </c>
      <c r="O46" s="4">
        <v>6</v>
      </c>
      <c r="P46" s="4" t="s">
        <v>2506</v>
      </c>
      <c r="Q46" s="4" t="s">
        <v>2527</v>
      </c>
      <c r="R46" s="4"/>
      <c r="S46" s="4"/>
      <c r="T46" s="4" t="str">
        <f>HYPERLINK("http://slimages.macys.com/is/image/MCY/20726214 ")</f>
        <v xml:space="preserve">http://slimages.macys.com/is/image/MCY/20726214 </v>
      </c>
    </row>
    <row r="47" spans="1:20" ht="15" customHeight="1" x14ac:dyDescent="0.25">
      <c r="A47" s="4" t="s">
        <v>2489</v>
      </c>
      <c r="B47" s="2" t="s">
        <v>2487</v>
      </c>
      <c r="C47" s="2" t="s">
        <v>2488</v>
      </c>
      <c r="D47" s="5" t="s">
        <v>2490</v>
      </c>
      <c r="E47" s="4" t="s">
        <v>2491</v>
      </c>
      <c r="F47" s="6">
        <v>14278836</v>
      </c>
      <c r="G47" s="3">
        <v>14278836</v>
      </c>
      <c r="H47" s="7">
        <v>733001487296</v>
      </c>
      <c r="I47" s="8" t="s">
        <v>2911</v>
      </c>
      <c r="J47" s="4">
        <v>1</v>
      </c>
      <c r="K47" s="9">
        <v>6.99</v>
      </c>
      <c r="L47" s="9">
        <v>6.99</v>
      </c>
      <c r="M47" s="4">
        <v>10010376300</v>
      </c>
      <c r="N47" s="4" t="s">
        <v>2600</v>
      </c>
      <c r="O47" s="4" t="s">
        <v>2912</v>
      </c>
      <c r="P47" s="4" t="s">
        <v>2503</v>
      </c>
      <c r="Q47" s="4" t="s">
        <v>2504</v>
      </c>
      <c r="R47" s="4"/>
      <c r="S47" s="4"/>
      <c r="T47" s="4" t="str">
        <f>HYPERLINK("http://slimages.macys.com/is/image/MCY/17586321 ")</f>
        <v xml:space="preserve">http://slimages.macys.com/is/image/MCY/17586321 </v>
      </c>
    </row>
    <row r="48" spans="1:20" ht="15" customHeight="1" x14ac:dyDescent="0.25">
      <c r="A48" s="4" t="s">
        <v>2489</v>
      </c>
      <c r="B48" s="2" t="s">
        <v>2487</v>
      </c>
      <c r="C48" s="2" t="s">
        <v>2488</v>
      </c>
      <c r="D48" s="5" t="s">
        <v>2490</v>
      </c>
      <c r="E48" s="4" t="s">
        <v>2491</v>
      </c>
      <c r="F48" s="6">
        <v>14278836</v>
      </c>
      <c r="G48" s="3">
        <v>14278836</v>
      </c>
      <c r="H48" s="7">
        <v>885031491085</v>
      </c>
      <c r="I48" s="8" t="s">
        <v>2202</v>
      </c>
      <c r="J48" s="4">
        <v>1</v>
      </c>
      <c r="K48" s="9">
        <v>29.5</v>
      </c>
      <c r="L48" s="9">
        <v>29.5</v>
      </c>
      <c r="M48" s="4">
        <v>323853891007</v>
      </c>
      <c r="N48" s="4" t="s">
        <v>2731</v>
      </c>
      <c r="O48" s="4" t="s">
        <v>2532</v>
      </c>
      <c r="P48" s="4" t="s">
        <v>2615</v>
      </c>
      <c r="Q48" s="4" t="s">
        <v>2616</v>
      </c>
      <c r="R48" s="4"/>
      <c r="S48" s="4"/>
      <c r="T48" s="4" t="str">
        <f>HYPERLINK("http://slimages.macys.com/is/image/MCY/19675580 ")</f>
        <v xml:space="preserve">http://slimages.macys.com/is/image/MCY/19675580 </v>
      </c>
    </row>
    <row r="49" spans="1:20" ht="15" customHeight="1" x14ac:dyDescent="0.25">
      <c r="A49" s="4" t="s">
        <v>2489</v>
      </c>
      <c r="B49" s="2" t="s">
        <v>2487</v>
      </c>
      <c r="C49" s="2" t="s">
        <v>2488</v>
      </c>
      <c r="D49" s="5" t="s">
        <v>2490</v>
      </c>
      <c r="E49" s="4" t="s">
        <v>2491</v>
      </c>
      <c r="F49" s="6">
        <v>14278836</v>
      </c>
      <c r="G49" s="3">
        <v>14278836</v>
      </c>
      <c r="H49" s="7">
        <v>194135514355</v>
      </c>
      <c r="I49" s="8" t="s">
        <v>2203</v>
      </c>
      <c r="J49" s="4">
        <v>1</v>
      </c>
      <c r="K49" s="9">
        <v>15.11</v>
      </c>
      <c r="L49" s="9">
        <v>15.11</v>
      </c>
      <c r="M49" s="4" t="s">
        <v>2204</v>
      </c>
      <c r="N49" s="4"/>
      <c r="O49" s="4" t="s">
        <v>2587</v>
      </c>
      <c r="P49" s="4" t="s">
        <v>2657</v>
      </c>
      <c r="Q49" s="4" t="s">
        <v>2658</v>
      </c>
      <c r="R49" s="4"/>
      <c r="S49" s="4"/>
      <c r="T49" s="4" t="str">
        <f>HYPERLINK("http://slimages.macys.com/is/image/MCY/19859258 ")</f>
        <v xml:space="preserve">http://slimages.macys.com/is/image/MCY/19859258 </v>
      </c>
    </row>
    <row r="50" spans="1:20" ht="15" customHeight="1" x14ac:dyDescent="0.25">
      <c r="A50" s="4" t="s">
        <v>2489</v>
      </c>
      <c r="B50" s="2" t="s">
        <v>2487</v>
      </c>
      <c r="C50" s="2" t="s">
        <v>2488</v>
      </c>
      <c r="D50" s="5" t="s">
        <v>2490</v>
      </c>
      <c r="E50" s="4" t="s">
        <v>2491</v>
      </c>
      <c r="F50" s="6">
        <v>14278836</v>
      </c>
      <c r="G50" s="3">
        <v>14278836</v>
      </c>
      <c r="H50" s="7">
        <v>194135419971</v>
      </c>
      <c r="I50" s="8" t="s">
        <v>2205</v>
      </c>
      <c r="J50" s="4">
        <v>1</v>
      </c>
      <c r="K50" s="9">
        <v>12.71</v>
      </c>
      <c r="L50" s="9">
        <v>12.71</v>
      </c>
      <c r="M50" s="4" t="s">
        <v>2206</v>
      </c>
      <c r="N50" s="4"/>
      <c r="O50" s="4" t="s">
        <v>2705</v>
      </c>
      <c r="P50" s="4" t="s">
        <v>2657</v>
      </c>
      <c r="Q50" s="4" t="s">
        <v>2716</v>
      </c>
      <c r="R50" s="4"/>
      <c r="S50" s="4"/>
      <c r="T50" s="4" t="str">
        <f>HYPERLINK("http://slimages.macys.com/is/image/MCY/19917050 ")</f>
        <v xml:space="preserve">http://slimages.macys.com/is/image/MCY/19917050 </v>
      </c>
    </row>
    <row r="51" spans="1:20" ht="15" customHeight="1" x14ac:dyDescent="0.25">
      <c r="A51" s="4" t="s">
        <v>2489</v>
      </c>
      <c r="B51" s="2" t="s">
        <v>2487</v>
      </c>
      <c r="C51" s="2" t="s">
        <v>2488</v>
      </c>
      <c r="D51" s="5" t="s">
        <v>2490</v>
      </c>
      <c r="E51" s="4" t="s">
        <v>2491</v>
      </c>
      <c r="F51" s="6">
        <v>14278836</v>
      </c>
      <c r="G51" s="3">
        <v>14278836</v>
      </c>
      <c r="H51" s="7">
        <v>194135461161</v>
      </c>
      <c r="I51" s="8" t="s">
        <v>2207</v>
      </c>
      <c r="J51" s="4">
        <v>2</v>
      </c>
      <c r="K51" s="9">
        <v>15.11</v>
      </c>
      <c r="L51" s="9">
        <v>30.22</v>
      </c>
      <c r="M51" s="4" t="s">
        <v>1981</v>
      </c>
      <c r="N51" s="4"/>
      <c r="O51" s="4" t="s">
        <v>2587</v>
      </c>
      <c r="P51" s="4" t="s">
        <v>2657</v>
      </c>
      <c r="Q51" s="4" t="s">
        <v>2658</v>
      </c>
      <c r="R51" s="4"/>
      <c r="S51" s="4"/>
      <c r="T51" s="4" t="str">
        <f>HYPERLINK("http://slimages.macys.com/is/image/MCY/19858314 ")</f>
        <v xml:space="preserve">http://slimages.macys.com/is/image/MCY/19858314 </v>
      </c>
    </row>
    <row r="52" spans="1:20" ht="15" customHeight="1" x14ac:dyDescent="0.25">
      <c r="A52" s="4" t="s">
        <v>2489</v>
      </c>
      <c r="B52" s="2" t="s">
        <v>2487</v>
      </c>
      <c r="C52" s="2" t="s">
        <v>2488</v>
      </c>
      <c r="D52" s="5" t="s">
        <v>2490</v>
      </c>
      <c r="E52" s="4" t="s">
        <v>2491</v>
      </c>
      <c r="F52" s="6">
        <v>14278836</v>
      </c>
      <c r="G52" s="3">
        <v>14278836</v>
      </c>
      <c r="H52" s="7">
        <v>194135514331</v>
      </c>
      <c r="I52" s="8" t="s">
        <v>2208</v>
      </c>
      <c r="J52" s="4">
        <v>1</v>
      </c>
      <c r="K52" s="9">
        <v>15.11</v>
      </c>
      <c r="L52" s="9">
        <v>15.11</v>
      </c>
      <c r="M52" s="4" t="s">
        <v>2204</v>
      </c>
      <c r="N52" s="4"/>
      <c r="O52" s="4" t="s">
        <v>2705</v>
      </c>
      <c r="P52" s="4" t="s">
        <v>2657</v>
      </c>
      <c r="Q52" s="4" t="s">
        <v>2658</v>
      </c>
      <c r="R52" s="4"/>
      <c r="S52" s="4"/>
      <c r="T52" s="4" t="str">
        <f>HYPERLINK("http://slimages.macys.com/is/image/MCY/19859258 ")</f>
        <v xml:space="preserve">http://slimages.macys.com/is/image/MCY/19859258 </v>
      </c>
    </row>
    <row r="53" spans="1:20" ht="15" customHeight="1" x14ac:dyDescent="0.25">
      <c r="A53" s="4" t="s">
        <v>2489</v>
      </c>
      <c r="B53" s="2" t="s">
        <v>2487</v>
      </c>
      <c r="C53" s="2" t="s">
        <v>2488</v>
      </c>
      <c r="D53" s="5" t="s">
        <v>2490</v>
      </c>
      <c r="E53" s="4" t="s">
        <v>2491</v>
      </c>
      <c r="F53" s="6">
        <v>14278836</v>
      </c>
      <c r="G53" s="3">
        <v>14278836</v>
      </c>
      <c r="H53" s="7">
        <v>194135461178</v>
      </c>
      <c r="I53" s="8" t="s">
        <v>2209</v>
      </c>
      <c r="J53" s="4">
        <v>1</v>
      </c>
      <c r="K53" s="9">
        <v>15.11</v>
      </c>
      <c r="L53" s="9">
        <v>15.11</v>
      </c>
      <c r="M53" s="4" t="s">
        <v>1981</v>
      </c>
      <c r="N53" s="4"/>
      <c r="O53" s="4"/>
      <c r="P53" s="4" t="s">
        <v>2657</v>
      </c>
      <c r="Q53" s="4" t="s">
        <v>2658</v>
      </c>
      <c r="R53" s="4"/>
      <c r="S53" s="4"/>
      <c r="T53" s="4" t="str">
        <f>HYPERLINK("http://slimages.macys.com/is/image/MCY/19858314 ")</f>
        <v xml:space="preserve">http://slimages.macys.com/is/image/MCY/19858314 </v>
      </c>
    </row>
    <row r="54" spans="1:20" ht="15" customHeight="1" x14ac:dyDescent="0.25">
      <c r="A54" s="4" t="s">
        <v>2489</v>
      </c>
      <c r="B54" s="2" t="s">
        <v>2487</v>
      </c>
      <c r="C54" s="2" t="s">
        <v>2488</v>
      </c>
      <c r="D54" s="5" t="s">
        <v>2490</v>
      </c>
      <c r="E54" s="4" t="s">
        <v>2491</v>
      </c>
      <c r="F54" s="6">
        <v>14278836</v>
      </c>
      <c r="G54" s="3">
        <v>14278836</v>
      </c>
      <c r="H54" s="7">
        <v>194135449671</v>
      </c>
      <c r="I54" s="8" t="s">
        <v>2210</v>
      </c>
      <c r="J54" s="4">
        <v>1</v>
      </c>
      <c r="K54" s="9">
        <v>15.56</v>
      </c>
      <c r="L54" s="9">
        <v>15.56</v>
      </c>
      <c r="M54" s="4" t="s">
        <v>2211</v>
      </c>
      <c r="N54" s="4"/>
      <c r="O54" s="4" t="s">
        <v>2524</v>
      </c>
      <c r="P54" s="4" t="s">
        <v>2657</v>
      </c>
      <c r="Q54" s="4" t="s">
        <v>2658</v>
      </c>
      <c r="R54" s="4"/>
      <c r="S54" s="4"/>
      <c r="T54" s="4" t="str">
        <f>HYPERLINK("http://slimages.macys.com/is/image/MCY/19944642 ")</f>
        <v xml:space="preserve">http://slimages.macys.com/is/image/MCY/19944642 </v>
      </c>
    </row>
    <row r="55" spans="1:20" ht="15" customHeight="1" x14ac:dyDescent="0.25">
      <c r="A55" s="4" t="s">
        <v>2489</v>
      </c>
      <c r="B55" s="2" t="s">
        <v>2487</v>
      </c>
      <c r="C55" s="2" t="s">
        <v>2488</v>
      </c>
      <c r="D55" s="5" t="s">
        <v>2490</v>
      </c>
      <c r="E55" s="4" t="s">
        <v>2491</v>
      </c>
      <c r="F55" s="6">
        <v>14278836</v>
      </c>
      <c r="G55" s="3">
        <v>14278836</v>
      </c>
      <c r="H55" s="7">
        <v>194135480780</v>
      </c>
      <c r="I55" s="8" t="s">
        <v>2212</v>
      </c>
      <c r="J55" s="4">
        <v>2</v>
      </c>
      <c r="K55" s="9">
        <v>17.309999999999999</v>
      </c>
      <c r="L55" s="9">
        <v>34.619999999999997</v>
      </c>
      <c r="M55" s="4" t="s">
        <v>2213</v>
      </c>
      <c r="N55" s="4"/>
      <c r="O55" s="4" t="s">
        <v>2587</v>
      </c>
      <c r="P55" s="4" t="s">
        <v>2657</v>
      </c>
      <c r="Q55" s="4" t="s">
        <v>2658</v>
      </c>
      <c r="R55" s="4"/>
      <c r="S55" s="4"/>
      <c r="T55" s="4" t="str">
        <f>HYPERLINK("http://slimages.macys.com/is/image/MCY/19910986 ")</f>
        <v xml:space="preserve">http://slimages.macys.com/is/image/MCY/19910986 </v>
      </c>
    </row>
    <row r="56" spans="1:20" ht="15" customHeight="1" x14ac:dyDescent="0.25">
      <c r="A56" s="4" t="s">
        <v>2489</v>
      </c>
      <c r="B56" s="2" t="s">
        <v>2487</v>
      </c>
      <c r="C56" s="2" t="s">
        <v>2488</v>
      </c>
      <c r="D56" s="5" t="s">
        <v>2490</v>
      </c>
      <c r="E56" s="4" t="s">
        <v>2491</v>
      </c>
      <c r="F56" s="6">
        <v>14278836</v>
      </c>
      <c r="G56" s="3">
        <v>14278836</v>
      </c>
      <c r="H56" s="7">
        <v>194135480797</v>
      </c>
      <c r="I56" s="8" t="s">
        <v>2214</v>
      </c>
      <c r="J56" s="4">
        <v>1</v>
      </c>
      <c r="K56" s="9">
        <v>17.309999999999999</v>
      </c>
      <c r="L56" s="9">
        <v>17.309999999999999</v>
      </c>
      <c r="M56" s="4" t="s">
        <v>2213</v>
      </c>
      <c r="N56" s="4"/>
      <c r="O56" s="4"/>
      <c r="P56" s="4" t="s">
        <v>2657</v>
      </c>
      <c r="Q56" s="4" t="s">
        <v>2658</v>
      </c>
      <c r="R56" s="4"/>
      <c r="S56" s="4"/>
      <c r="T56" s="4" t="str">
        <f>HYPERLINK("http://slimages.macys.com/is/image/MCY/19910986 ")</f>
        <v xml:space="preserve">http://slimages.macys.com/is/image/MCY/19910986 </v>
      </c>
    </row>
    <row r="57" spans="1:20" ht="15" customHeight="1" x14ac:dyDescent="0.25">
      <c r="A57" s="4" t="s">
        <v>2489</v>
      </c>
      <c r="B57" s="2" t="s">
        <v>2487</v>
      </c>
      <c r="C57" s="2" t="s">
        <v>2488</v>
      </c>
      <c r="D57" s="5" t="s">
        <v>2490</v>
      </c>
      <c r="E57" s="4" t="s">
        <v>2491</v>
      </c>
      <c r="F57" s="6">
        <v>14278836</v>
      </c>
      <c r="G57" s="3">
        <v>14278836</v>
      </c>
      <c r="H57" s="7">
        <v>194135476530</v>
      </c>
      <c r="I57" s="8" t="s">
        <v>2215</v>
      </c>
      <c r="J57" s="4">
        <v>1</v>
      </c>
      <c r="K57" s="9">
        <v>17.309999999999999</v>
      </c>
      <c r="L57" s="9">
        <v>17.309999999999999</v>
      </c>
      <c r="M57" s="4" t="s">
        <v>2216</v>
      </c>
      <c r="N57" s="4"/>
      <c r="O57" s="4" t="s">
        <v>2705</v>
      </c>
      <c r="P57" s="4" t="s">
        <v>2657</v>
      </c>
      <c r="Q57" s="4" t="s">
        <v>2658</v>
      </c>
      <c r="R57" s="4"/>
      <c r="S57" s="4"/>
      <c r="T57" s="4" t="str">
        <f>HYPERLINK("http://slimages.macys.com/is/image/MCY/19910888 ")</f>
        <v xml:space="preserve">http://slimages.macys.com/is/image/MCY/19910888 </v>
      </c>
    </row>
    <row r="58" spans="1:20" ht="15" customHeight="1" x14ac:dyDescent="0.25">
      <c r="A58" s="4" t="s">
        <v>2489</v>
      </c>
      <c r="B58" s="2" t="s">
        <v>2487</v>
      </c>
      <c r="C58" s="2" t="s">
        <v>2488</v>
      </c>
      <c r="D58" s="5" t="s">
        <v>2490</v>
      </c>
      <c r="E58" s="4" t="s">
        <v>2491</v>
      </c>
      <c r="F58" s="6">
        <v>14278836</v>
      </c>
      <c r="G58" s="3">
        <v>14278836</v>
      </c>
      <c r="H58" s="7">
        <v>733003643713</v>
      </c>
      <c r="I58" s="8" t="s">
        <v>1925</v>
      </c>
      <c r="J58" s="4">
        <v>1</v>
      </c>
      <c r="K58" s="9">
        <v>18.989999999999998</v>
      </c>
      <c r="L58" s="9">
        <v>18.989999999999998</v>
      </c>
      <c r="M58" s="4" t="s">
        <v>3079</v>
      </c>
      <c r="N58" s="4" t="s">
        <v>2514</v>
      </c>
      <c r="O58" s="4">
        <v>6</v>
      </c>
      <c r="P58" s="4" t="s">
        <v>2515</v>
      </c>
      <c r="Q58" s="4" t="s">
        <v>2972</v>
      </c>
      <c r="R58" s="4"/>
      <c r="S58" s="4"/>
      <c r="T58" s="4" t="str">
        <f>HYPERLINK("http://slimages.macys.com/is/image/MCY/20008344 ")</f>
        <v xml:space="preserve">http://slimages.macys.com/is/image/MCY/20008344 </v>
      </c>
    </row>
    <row r="59" spans="1:20" ht="15" customHeight="1" x14ac:dyDescent="0.25">
      <c r="A59" s="4" t="s">
        <v>2489</v>
      </c>
      <c r="B59" s="2" t="s">
        <v>2487</v>
      </c>
      <c r="C59" s="2" t="s">
        <v>2488</v>
      </c>
      <c r="D59" s="5" t="s">
        <v>2490</v>
      </c>
      <c r="E59" s="4" t="s">
        <v>2491</v>
      </c>
      <c r="F59" s="6">
        <v>14278836</v>
      </c>
      <c r="G59" s="3">
        <v>14278836</v>
      </c>
      <c r="H59" s="7">
        <v>195238048235</v>
      </c>
      <c r="I59" s="8" t="s">
        <v>2217</v>
      </c>
      <c r="J59" s="4">
        <v>1</v>
      </c>
      <c r="K59" s="9">
        <v>33.99</v>
      </c>
      <c r="L59" s="9">
        <v>33.99</v>
      </c>
      <c r="M59" s="4" t="s">
        <v>2218</v>
      </c>
      <c r="N59" s="4" t="s">
        <v>2729</v>
      </c>
      <c r="O59" s="4" t="s">
        <v>2498</v>
      </c>
      <c r="P59" s="4" t="s">
        <v>2499</v>
      </c>
      <c r="Q59" s="4" t="s">
        <v>2568</v>
      </c>
      <c r="R59" s="4"/>
      <c r="S59" s="4"/>
      <c r="T59" s="4" t="str">
        <f>HYPERLINK("http://slimages.macys.com/is/image/MCY/19544112 ")</f>
        <v xml:space="preserve">http://slimages.macys.com/is/image/MCY/19544112 </v>
      </c>
    </row>
    <row r="60" spans="1:20" ht="15" customHeight="1" x14ac:dyDescent="0.25">
      <c r="A60" s="4" t="s">
        <v>2489</v>
      </c>
      <c r="B60" s="2" t="s">
        <v>2487</v>
      </c>
      <c r="C60" s="2" t="s">
        <v>2488</v>
      </c>
      <c r="D60" s="5" t="s">
        <v>2490</v>
      </c>
      <c r="E60" s="4" t="s">
        <v>2491</v>
      </c>
      <c r="F60" s="6">
        <v>14278836</v>
      </c>
      <c r="G60" s="3">
        <v>14278836</v>
      </c>
      <c r="H60" s="7">
        <v>195958060081</v>
      </c>
      <c r="I60" s="8" t="s">
        <v>2219</v>
      </c>
      <c r="J60" s="4">
        <v>1</v>
      </c>
      <c r="K60" s="9">
        <v>24.99</v>
      </c>
      <c r="L60" s="9">
        <v>24.99</v>
      </c>
      <c r="M60" s="4" t="s">
        <v>2220</v>
      </c>
      <c r="N60" s="4" t="s">
        <v>2544</v>
      </c>
      <c r="O60" s="4">
        <v>4</v>
      </c>
      <c r="P60" s="4" t="s">
        <v>2536</v>
      </c>
      <c r="Q60" s="4" t="s">
        <v>2844</v>
      </c>
      <c r="R60" s="4"/>
      <c r="S60" s="4"/>
      <c r="T60" s="4" t="str">
        <f>HYPERLINK("http://slimages.macys.com/is/image/MCY/20577710 ")</f>
        <v xml:space="preserve">http://slimages.macys.com/is/image/MCY/20577710 </v>
      </c>
    </row>
    <row r="61" spans="1:20" ht="15" customHeight="1" x14ac:dyDescent="0.25">
      <c r="A61" s="4" t="s">
        <v>2489</v>
      </c>
      <c r="B61" s="2" t="s">
        <v>2487</v>
      </c>
      <c r="C61" s="2" t="s">
        <v>2488</v>
      </c>
      <c r="D61" s="5" t="s">
        <v>2490</v>
      </c>
      <c r="E61" s="4" t="s">
        <v>2491</v>
      </c>
      <c r="F61" s="6">
        <v>14278836</v>
      </c>
      <c r="G61" s="3">
        <v>14278836</v>
      </c>
      <c r="H61" s="7">
        <v>762120016285</v>
      </c>
      <c r="I61" s="8" t="s">
        <v>2221</v>
      </c>
      <c r="J61" s="4">
        <v>2</v>
      </c>
      <c r="K61" s="9">
        <v>11.99</v>
      </c>
      <c r="L61" s="9">
        <v>23.98</v>
      </c>
      <c r="M61" s="4" t="s">
        <v>2162</v>
      </c>
      <c r="N61" s="4" t="s">
        <v>2565</v>
      </c>
      <c r="O61" s="4" t="s">
        <v>2555</v>
      </c>
      <c r="P61" s="4" t="s">
        <v>2520</v>
      </c>
      <c r="Q61" s="4" t="s">
        <v>2521</v>
      </c>
      <c r="R61" s="4"/>
      <c r="S61" s="4"/>
      <c r="T61" s="4" t="str">
        <f>HYPERLINK("http://slimages.macys.com/is/image/MCY/20673081 ")</f>
        <v xml:space="preserve">http://slimages.macys.com/is/image/MCY/20673081 </v>
      </c>
    </row>
    <row r="62" spans="1:20" ht="15" customHeight="1" x14ac:dyDescent="0.25">
      <c r="A62" s="4" t="s">
        <v>2489</v>
      </c>
      <c r="B62" s="2" t="s">
        <v>2487</v>
      </c>
      <c r="C62" s="2" t="s">
        <v>2488</v>
      </c>
      <c r="D62" s="5" t="s">
        <v>2490</v>
      </c>
      <c r="E62" s="4" t="s">
        <v>2491</v>
      </c>
      <c r="F62" s="6">
        <v>14278836</v>
      </c>
      <c r="G62" s="3">
        <v>14278836</v>
      </c>
      <c r="H62" s="7">
        <v>194257571120</v>
      </c>
      <c r="I62" s="8" t="s">
        <v>2222</v>
      </c>
      <c r="J62" s="4">
        <v>1</v>
      </c>
      <c r="K62" s="9">
        <v>14.99</v>
      </c>
      <c r="L62" s="9">
        <v>14.99</v>
      </c>
      <c r="M62" s="4" t="s">
        <v>2223</v>
      </c>
      <c r="N62" s="4" t="s">
        <v>2224</v>
      </c>
      <c r="O62" s="4">
        <v>4</v>
      </c>
      <c r="P62" s="4" t="s">
        <v>2619</v>
      </c>
      <c r="Q62" s="4" t="s">
        <v>2654</v>
      </c>
      <c r="R62" s="4"/>
      <c r="S62" s="4"/>
      <c r="T62" s="4" t="str">
        <f>HYPERLINK("http://slimages.macys.com/is/image/MCY/20136613 ")</f>
        <v xml:space="preserve">http://slimages.macys.com/is/image/MCY/20136613 </v>
      </c>
    </row>
    <row r="63" spans="1:20" ht="15" customHeight="1" x14ac:dyDescent="0.25">
      <c r="A63" s="4" t="s">
        <v>2489</v>
      </c>
      <c r="B63" s="2" t="s">
        <v>2487</v>
      </c>
      <c r="C63" s="2" t="s">
        <v>2488</v>
      </c>
      <c r="D63" s="5" t="s">
        <v>2490</v>
      </c>
      <c r="E63" s="4" t="s">
        <v>2491</v>
      </c>
      <c r="F63" s="6">
        <v>14278836</v>
      </c>
      <c r="G63" s="3">
        <v>14278836</v>
      </c>
      <c r="H63" s="7">
        <v>733002787746</v>
      </c>
      <c r="I63" s="8" t="s">
        <v>2225</v>
      </c>
      <c r="J63" s="4">
        <v>1</v>
      </c>
      <c r="K63" s="9">
        <v>7.99</v>
      </c>
      <c r="L63" s="9">
        <v>7.99</v>
      </c>
      <c r="M63" s="4" t="s">
        <v>2226</v>
      </c>
      <c r="N63" s="4" t="s">
        <v>2514</v>
      </c>
      <c r="O63" s="4">
        <v>6</v>
      </c>
      <c r="P63" s="4" t="s">
        <v>2602</v>
      </c>
      <c r="Q63" s="4" t="s">
        <v>2528</v>
      </c>
      <c r="R63" s="4"/>
      <c r="S63" s="4"/>
      <c r="T63" s="4" t="str">
        <f>HYPERLINK("http://slimages.macys.com/is/image/MCY/19072832 ")</f>
        <v xml:space="preserve">http://slimages.macys.com/is/image/MCY/19072832 </v>
      </c>
    </row>
    <row r="64" spans="1:20" ht="15" customHeight="1" x14ac:dyDescent="0.25">
      <c r="A64" s="4" t="s">
        <v>2489</v>
      </c>
      <c r="B64" s="2" t="s">
        <v>2487</v>
      </c>
      <c r="C64" s="2" t="s">
        <v>2488</v>
      </c>
      <c r="D64" s="5" t="s">
        <v>2490</v>
      </c>
      <c r="E64" s="4" t="s">
        <v>2491</v>
      </c>
      <c r="F64" s="6">
        <v>14278836</v>
      </c>
      <c r="G64" s="3">
        <v>14278836</v>
      </c>
      <c r="H64" s="7">
        <v>733004553219</v>
      </c>
      <c r="I64" s="8" t="s">
        <v>2227</v>
      </c>
      <c r="J64" s="4">
        <v>2</v>
      </c>
      <c r="K64" s="9">
        <v>21.99</v>
      </c>
      <c r="L64" s="9">
        <v>43.98</v>
      </c>
      <c r="M64" s="4" t="s">
        <v>2228</v>
      </c>
      <c r="N64" s="4" t="s">
        <v>2497</v>
      </c>
      <c r="O64" s="4" t="s">
        <v>2519</v>
      </c>
      <c r="P64" s="4" t="s">
        <v>2515</v>
      </c>
      <c r="Q64" s="4" t="s">
        <v>2672</v>
      </c>
      <c r="R64" s="4"/>
      <c r="S64" s="4"/>
      <c r="T64" s="4" t="str">
        <f>HYPERLINK("http://slimages.macys.com/is/image/MCY/20531655 ")</f>
        <v xml:space="preserve">http://slimages.macys.com/is/image/MCY/20531655 </v>
      </c>
    </row>
    <row r="65" spans="1:20" ht="15" customHeight="1" x14ac:dyDescent="0.25">
      <c r="A65" s="4" t="s">
        <v>2489</v>
      </c>
      <c r="B65" s="2" t="s">
        <v>2487</v>
      </c>
      <c r="C65" s="2" t="s">
        <v>2488</v>
      </c>
      <c r="D65" s="5" t="s">
        <v>2490</v>
      </c>
      <c r="E65" s="4" t="s">
        <v>2491</v>
      </c>
      <c r="F65" s="6">
        <v>14278836</v>
      </c>
      <c r="G65" s="3">
        <v>14278836</v>
      </c>
      <c r="H65" s="7">
        <v>733004553240</v>
      </c>
      <c r="I65" s="8" t="s">
        <v>2229</v>
      </c>
      <c r="J65" s="4">
        <v>1</v>
      </c>
      <c r="K65" s="9">
        <v>21.99</v>
      </c>
      <c r="L65" s="9">
        <v>21.99</v>
      </c>
      <c r="M65" s="4" t="s">
        <v>2228</v>
      </c>
      <c r="N65" s="4" t="s">
        <v>2497</v>
      </c>
      <c r="O65" s="4" t="s">
        <v>2671</v>
      </c>
      <c r="P65" s="4" t="s">
        <v>2515</v>
      </c>
      <c r="Q65" s="4" t="s">
        <v>2672</v>
      </c>
      <c r="R65" s="4"/>
      <c r="S65" s="4"/>
      <c r="T65" s="4" t="str">
        <f>HYPERLINK("http://slimages.macys.com/is/image/MCY/20531655 ")</f>
        <v xml:space="preserve">http://slimages.macys.com/is/image/MCY/20531655 </v>
      </c>
    </row>
    <row r="66" spans="1:20" ht="15" customHeight="1" x14ac:dyDescent="0.25">
      <c r="A66" s="4" t="s">
        <v>2489</v>
      </c>
      <c r="B66" s="2" t="s">
        <v>2487</v>
      </c>
      <c r="C66" s="2" t="s">
        <v>2488</v>
      </c>
      <c r="D66" s="5" t="s">
        <v>2490</v>
      </c>
      <c r="E66" s="4" t="s">
        <v>2491</v>
      </c>
      <c r="F66" s="6">
        <v>14278836</v>
      </c>
      <c r="G66" s="3">
        <v>14278836</v>
      </c>
      <c r="H66" s="7">
        <v>194135226128</v>
      </c>
      <c r="I66" s="8" t="s">
        <v>2230</v>
      </c>
      <c r="J66" s="4">
        <v>1</v>
      </c>
      <c r="K66" s="9">
        <v>11.93</v>
      </c>
      <c r="L66" s="9">
        <v>11.93</v>
      </c>
      <c r="M66" s="4" t="s">
        <v>2231</v>
      </c>
      <c r="N66" s="4" t="s">
        <v>2492</v>
      </c>
      <c r="O66" s="4" t="s">
        <v>2746</v>
      </c>
      <c r="P66" s="4" t="s">
        <v>2494</v>
      </c>
      <c r="Q66" s="4" t="s">
        <v>2495</v>
      </c>
      <c r="R66" s="4"/>
      <c r="S66" s="4"/>
      <c r="T66" s="4" t="str">
        <f>HYPERLINK("http://slimages.macys.com/is/image/MCY/19018958 ")</f>
        <v xml:space="preserve">http://slimages.macys.com/is/image/MCY/19018958 </v>
      </c>
    </row>
    <row r="67" spans="1:20" ht="15" customHeight="1" x14ac:dyDescent="0.25">
      <c r="A67" s="4" t="s">
        <v>2489</v>
      </c>
      <c r="B67" s="2" t="s">
        <v>2487</v>
      </c>
      <c r="C67" s="2" t="s">
        <v>2488</v>
      </c>
      <c r="D67" s="5" t="s">
        <v>2490</v>
      </c>
      <c r="E67" s="4" t="s">
        <v>2491</v>
      </c>
      <c r="F67" s="6">
        <v>14278836</v>
      </c>
      <c r="G67" s="3">
        <v>14278836</v>
      </c>
      <c r="H67" s="7">
        <v>194257565082</v>
      </c>
      <c r="I67" s="8" t="s">
        <v>2232</v>
      </c>
      <c r="J67" s="4">
        <v>1</v>
      </c>
      <c r="K67" s="9">
        <v>14.99</v>
      </c>
      <c r="L67" s="9">
        <v>14.99</v>
      </c>
      <c r="M67" s="4" t="s">
        <v>3279</v>
      </c>
      <c r="N67" s="4" t="s">
        <v>2497</v>
      </c>
      <c r="O67" s="4" t="s">
        <v>2653</v>
      </c>
      <c r="P67" s="4" t="s">
        <v>2619</v>
      </c>
      <c r="Q67" s="4" t="s">
        <v>2654</v>
      </c>
      <c r="R67" s="4"/>
      <c r="S67" s="4"/>
      <c r="T67" s="4" t="str">
        <f>HYPERLINK("http://slimages.macys.com/is/image/MCY/19941195 ")</f>
        <v xml:space="preserve">http://slimages.macys.com/is/image/MCY/19941195 </v>
      </c>
    </row>
    <row r="68" spans="1:20" ht="15" customHeight="1" x14ac:dyDescent="0.25">
      <c r="A68" s="4" t="s">
        <v>2489</v>
      </c>
      <c r="B68" s="2" t="s">
        <v>2487</v>
      </c>
      <c r="C68" s="2" t="s">
        <v>2488</v>
      </c>
      <c r="D68" s="5" t="s">
        <v>2490</v>
      </c>
      <c r="E68" s="4" t="s">
        <v>2491</v>
      </c>
      <c r="F68" s="6">
        <v>14278836</v>
      </c>
      <c r="G68" s="3">
        <v>14278836</v>
      </c>
      <c r="H68" s="7">
        <v>762120084673</v>
      </c>
      <c r="I68" s="8" t="s">
        <v>3182</v>
      </c>
      <c r="J68" s="4">
        <v>1</v>
      </c>
      <c r="K68" s="9">
        <v>7.99</v>
      </c>
      <c r="L68" s="9">
        <v>7.99</v>
      </c>
      <c r="M68" s="4" t="s">
        <v>3183</v>
      </c>
      <c r="N68" s="4" t="s">
        <v>2565</v>
      </c>
      <c r="O68" s="4" t="s">
        <v>2650</v>
      </c>
      <c r="P68" s="4" t="s">
        <v>2602</v>
      </c>
      <c r="Q68" s="4" t="s">
        <v>2528</v>
      </c>
      <c r="R68" s="4"/>
      <c r="S68" s="4"/>
      <c r="T68" s="4" t="str">
        <f>HYPERLINK("http://slimages.macys.com/is/image/MCY/1088549 ")</f>
        <v xml:space="preserve">http://slimages.macys.com/is/image/MCY/1088549 </v>
      </c>
    </row>
    <row r="69" spans="1:20" ht="15" customHeight="1" x14ac:dyDescent="0.25">
      <c r="A69" s="4" t="s">
        <v>2489</v>
      </c>
      <c r="B69" s="2" t="s">
        <v>2487</v>
      </c>
      <c r="C69" s="2" t="s">
        <v>2488</v>
      </c>
      <c r="D69" s="5" t="s">
        <v>2490</v>
      </c>
      <c r="E69" s="4" t="s">
        <v>2491</v>
      </c>
      <c r="F69" s="6">
        <v>14278836</v>
      </c>
      <c r="G69" s="3">
        <v>14278836</v>
      </c>
      <c r="H69" s="7">
        <v>762120084680</v>
      </c>
      <c r="I69" s="8" t="s">
        <v>3418</v>
      </c>
      <c r="J69" s="4">
        <v>1</v>
      </c>
      <c r="K69" s="9">
        <v>7.99</v>
      </c>
      <c r="L69" s="9">
        <v>7.99</v>
      </c>
      <c r="M69" s="4" t="s">
        <v>3183</v>
      </c>
      <c r="N69" s="4" t="s">
        <v>2565</v>
      </c>
      <c r="O69" s="4" t="s">
        <v>2629</v>
      </c>
      <c r="P69" s="4" t="s">
        <v>2602</v>
      </c>
      <c r="Q69" s="4" t="s">
        <v>2528</v>
      </c>
      <c r="R69" s="4"/>
      <c r="S69" s="4"/>
      <c r="T69" s="4" t="str">
        <f>HYPERLINK("http://slimages.macys.com/is/image/MCY/1088549 ")</f>
        <v xml:space="preserve">http://slimages.macys.com/is/image/MCY/1088549 </v>
      </c>
    </row>
    <row r="70" spans="1:20" ht="15" customHeight="1" x14ac:dyDescent="0.25">
      <c r="A70" s="4" t="s">
        <v>2489</v>
      </c>
      <c r="B70" s="2" t="s">
        <v>2487</v>
      </c>
      <c r="C70" s="2" t="s">
        <v>2488</v>
      </c>
      <c r="D70" s="5" t="s">
        <v>2490</v>
      </c>
      <c r="E70" s="4" t="s">
        <v>2491</v>
      </c>
      <c r="F70" s="6">
        <v>14278836</v>
      </c>
      <c r="G70" s="3">
        <v>14278836</v>
      </c>
      <c r="H70" s="7">
        <v>733004884184</v>
      </c>
      <c r="I70" s="8" t="s">
        <v>2233</v>
      </c>
      <c r="J70" s="4">
        <v>1</v>
      </c>
      <c r="K70" s="9">
        <v>6.99</v>
      </c>
      <c r="L70" s="9">
        <v>6.99</v>
      </c>
      <c r="M70" s="4" t="s">
        <v>2234</v>
      </c>
      <c r="N70" s="4" t="s">
        <v>3049</v>
      </c>
      <c r="O70" s="4" t="s">
        <v>2566</v>
      </c>
      <c r="P70" s="4" t="s">
        <v>2503</v>
      </c>
      <c r="Q70" s="4" t="s">
        <v>2504</v>
      </c>
      <c r="R70" s="4"/>
      <c r="S70" s="4"/>
      <c r="T70" s="4" t="str">
        <f>HYPERLINK("http://slimages.macys.com/is/image/MCY/1062102 ")</f>
        <v xml:space="preserve">http://slimages.macys.com/is/image/MCY/1062102 </v>
      </c>
    </row>
    <row r="71" spans="1:20" ht="15" customHeight="1" x14ac:dyDescent="0.25">
      <c r="A71" s="4" t="s">
        <v>2489</v>
      </c>
      <c r="B71" s="2" t="s">
        <v>2487</v>
      </c>
      <c r="C71" s="2" t="s">
        <v>2488</v>
      </c>
      <c r="D71" s="5" t="s">
        <v>2490</v>
      </c>
      <c r="E71" s="4" t="s">
        <v>2491</v>
      </c>
      <c r="F71" s="6">
        <v>14278836</v>
      </c>
      <c r="G71" s="3">
        <v>14278836</v>
      </c>
      <c r="H71" s="7">
        <v>733004746130</v>
      </c>
      <c r="I71" s="8" t="s">
        <v>2235</v>
      </c>
      <c r="J71" s="4">
        <v>2</v>
      </c>
      <c r="K71" s="9">
        <v>6.99</v>
      </c>
      <c r="L71" s="9">
        <v>13.98</v>
      </c>
      <c r="M71" s="4" t="s">
        <v>3371</v>
      </c>
      <c r="N71" s="4" t="s">
        <v>2505</v>
      </c>
      <c r="O71" s="4" t="s">
        <v>2559</v>
      </c>
      <c r="P71" s="4" t="s">
        <v>2503</v>
      </c>
      <c r="Q71" s="4" t="s">
        <v>2504</v>
      </c>
      <c r="R71" s="4"/>
      <c r="S71" s="4"/>
      <c r="T71" s="4" t="str">
        <f>HYPERLINK("http://slimages.macys.com/is/image/MCY/19977352 ")</f>
        <v xml:space="preserve">http://slimages.macys.com/is/image/MCY/19977352 </v>
      </c>
    </row>
    <row r="72" spans="1:20" ht="15" customHeight="1" x14ac:dyDescent="0.25">
      <c r="A72" s="4" t="s">
        <v>2489</v>
      </c>
      <c r="B72" s="2" t="s">
        <v>2487</v>
      </c>
      <c r="C72" s="2" t="s">
        <v>2488</v>
      </c>
      <c r="D72" s="5" t="s">
        <v>2490</v>
      </c>
      <c r="E72" s="4" t="s">
        <v>2491</v>
      </c>
      <c r="F72" s="6">
        <v>14278836</v>
      </c>
      <c r="G72" s="3">
        <v>14278836</v>
      </c>
      <c r="H72" s="7">
        <v>733004746161</v>
      </c>
      <c r="I72" s="8" t="s">
        <v>2236</v>
      </c>
      <c r="J72" s="4">
        <v>2</v>
      </c>
      <c r="K72" s="9">
        <v>6.99</v>
      </c>
      <c r="L72" s="9">
        <v>13.98</v>
      </c>
      <c r="M72" s="4" t="s">
        <v>3371</v>
      </c>
      <c r="N72" s="4" t="s">
        <v>2505</v>
      </c>
      <c r="O72" s="4" t="s">
        <v>2493</v>
      </c>
      <c r="P72" s="4" t="s">
        <v>2503</v>
      </c>
      <c r="Q72" s="4" t="s">
        <v>2504</v>
      </c>
      <c r="R72" s="4"/>
      <c r="S72" s="4"/>
      <c r="T72" s="4" t="str">
        <f>HYPERLINK("http://slimages.macys.com/is/image/MCY/19977352 ")</f>
        <v xml:space="preserve">http://slimages.macys.com/is/image/MCY/19977352 </v>
      </c>
    </row>
    <row r="73" spans="1:20" ht="15" customHeight="1" x14ac:dyDescent="0.25">
      <c r="A73" s="4" t="s">
        <v>2489</v>
      </c>
      <c r="B73" s="2" t="s">
        <v>2487</v>
      </c>
      <c r="C73" s="2" t="s">
        <v>2488</v>
      </c>
      <c r="D73" s="5" t="s">
        <v>2490</v>
      </c>
      <c r="E73" s="4" t="s">
        <v>2491</v>
      </c>
      <c r="F73" s="6">
        <v>14278836</v>
      </c>
      <c r="G73" s="3">
        <v>14278836</v>
      </c>
      <c r="H73" s="7">
        <v>733004286414</v>
      </c>
      <c r="I73" s="8" t="s">
        <v>2237</v>
      </c>
      <c r="J73" s="4">
        <v>1</v>
      </c>
      <c r="K73" s="9">
        <v>6.99</v>
      </c>
      <c r="L73" s="9">
        <v>6.99</v>
      </c>
      <c r="M73" s="4" t="s">
        <v>2238</v>
      </c>
      <c r="N73" s="4" t="s">
        <v>2600</v>
      </c>
      <c r="O73" s="4" t="s">
        <v>2607</v>
      </c>
      <c r="P73" s="4" t="s">
        <v>2503</v>
      </c>
      <c r="Q73" s="4" t="s">
        <v>2504</v>
      </c>
      <c r="R73" s="4"/>
      <c r="S73" s="4"/>
      <c r="T73" s="4" t="str">
        <f>HYPERLINK("http://slimages.macys.com/is/image/MCY/17780603 ")</f>
        <v xml:space="preserve">http://slimages.macys.com/is/image/MCY/17780603 </v>
      </c>
    </row>
    <row r="74" spans="1:20" ht="15" customHeight="1" x14ac:dyDescent="0.25">
      <c r="A74" s="4" t="s">
        <v>2489</v>
      </c>
      <c r="B74" s="2" t="s">
        <v>2487</v>
      </c>
      <c r="C74" s="2" t="s">
        <v>2488</v>
      </c>
      <c r="D74" s="5" t="s">
        <v>2490</v>
      </c>
      <c r="E74" s="4" t="s">
        <v>2491</v>
      </c>
      <c r="F74" s="6">
        <v>14278836</v>
      </c>
      <c r="G74" s="3">
        <v>14278836</v>
      </c>
      <c r="H74" s="7">
        <v>733004883620</v>
      </c>
      <c r="I74" s="8" t="s">
        <v>2239</v>
      </c>
      <c r="J74" s="4">
        <v>1</v>
      </c>
      <c r="K74" s="9">
        <v>6.99</v>
      </c>
      <c r="L74" s="9">
        <v>6.99</v>
      </c>
      <c r="M74" s="4" t="s">
        <v>2240</v>
      </c>
      <c r="N74" s="4" t="s">
        <v>2530</v>
      </c>
      <c r="O74" s="4" t="s">
        <v>2566</v>
      </c>
      <c r="P74" s="4" t="s">
        <v>2503</v>
      </c>
      <c r="Q74" s="4" t="s">
        <v>2504</v>
      </c>
      <c r="R74" s="4"/>
      <c r="S74" s="4"/>
      <c r="T74" s="4" t="str">
        <f>HYPERLINK("http://slimages.macys.com/is/image/MCY/20142585 ")</f>
        <v xml:space="preserve">http://slimages.macys.com/is/image/MCY/20142585 </v>
      </c>
    </row>
    <row r="75" spans="1:20" ht="15" customHeight="1" x14ac:dyDescent="0.25">
      <c r="A75" s="4" t="s">
        <v>2489</v>
      </c>
      <c r="B75" s="2" t="s">
        <v>2487</v>
      </c>
      <c r="C75" s="2" t="s">
        <v>2488</v>
      </c>
      <c r="D75" s="5" t="s">
        <v>2490</v>
      </c>
      <c r="E75" s="4" t="s">
        <v>2491</v>
      </c>
      <c r="F75" s="6">
        <v>14278836</v>
      </c>
      <c r="G75" s="3">
        <v>14278836</v>
      </c>
      <c r="H75" s="7">
        <v>733004745799</v>
      </c>
      <c r="I75" s="8" t="s">
        <v>3348</v>
      </c>
      <c r="J75" s="4">
        <v>1</v>
      </c>
      <c r="K75" s="9">
        <v>6.99</v>
      </c>
      <c r="L75" s="9">
        <v>6.99</v>
      </c>
      <c r="M75" s="4" t="s">
        <v>2852</v>
      </c>
      <c r="N75" s="4" t="s">
        <v>2565</v>
      </c>
      <c r="O75" s="4" t="s">
        <v>2566</v>
      </c>
      <c r="P75" s="4" t="s">
        <v>2503</v>
      </c>
      <c r="Q75" s="4" t="s">
        <v>2504</v>
      </c>
      <c r="R75" s="4"/>
      <c r="S75" s="4"/>
      <c r="T75" s="4" t="str">
        <f>HYPERLINK("http://slimages.macys.com/is/image/MCY/19977364 ")</f>
        <v xml:space="preserve">http://slimages.macys.com/is/image/MCY/19977364 </v>
      </c>
    </row>
    <row r="76" spans="1:20" ht="15" customHeight="1" x14ac:dyDescent="0.25">
      <c r="A76" s="4" t="s">
        <v>2489</v>
      </c>
      <c r="B76" s="2" t="s">
        <v>2487</v>
      </c>
      <c r="C76" s="2" t="s">
        <v>2488</v>
      </c>
      <c r="D76" s="5" t="s">
        <v>2490</v>
      </c>
      <c r="E76" s="4" t="s">
        <v>2491</v>
      </c>
      <c r="F76" s="6">
        <v>14278836</v>
      </c>
      <c r="G76" s="3">
        <v>14278836</v>
      </c>
      <c r="H76" s="7">
        <v>762120023238</v>
      </c>
      <c r="I76" s="8" t="s">
        <v>1904</v>
      </c>
      <c r="J76" s="4">
        <v>1</v>
      </c>
      <c r="K76" s="9">
        <v>6.99</v>
      </c>
      <c r="L76" s="9">
        <v>6.99</v>
      </c>
      <c r="M76" s="4" t="s">
        <v>1905</v>
      </c>
      <c r="N76" s="4" t="s">
        <v>2518</v>
      </c>
      <c r="O76" s="4" t="s">
        <v>2502</v>
      </c>
      <c r="P76" s="4" t="s">
        <v>2503</v>
      </c>
      <c r="Q76" s="4" t="s">
        <v>2504</v>
      </c>
      <c r="R76" s="4"/>
      <c r="S76" s="4"/>
      <c r="T76" s="4" t="str">
        <f>HYPERLINK("http://slimages.macys.com/is/image/MCY/19977832 ")</f>
        <v xml:space="preserve">http://slimages.macys.com/is/image/MCY/19977832 </v>
      </c>
    </row>
    <row r="77" spans="1:20" ht="15" customHeight="1" x14ac:dyDescent="0.25">
      <c r="A77" s="4" t="s">
        <v>2489</v>
      </c>
      <c r="B77" s="2" t="s">
        <v>2487</v>
      </c>
      <c r="C77" s="2" t="s">
        <v>2488</v>
      </c>
      <c r="D77" s="5" t="s">
        <v>2490</v>
      </c>
      <c r="E77" s="4" t="s">
        <v>2491</v>
      </c>
      <c r="F77" s="6">
        <v>14278836</v>
      </c>
      <c r="G77" s="3">
        <v>14278836</v>
      </c>
      <c r="H77" s="7">
        <v>733004919848</v>
      </c>
      <c r="I77" s="8" t="s">
        <v>2241</v>
      </c>
      <c r="J77" s="4">
        <v>1</v>
      </c>
      <c r="K77" s="9">
        <v>6.99</v>
      </c>
      <c r="L77" s="9">
        <v>6.99</v>
      </c>
      <c r="M77" s="4" t="s">
        <v>3349</v>
      </c>
      <c r="N77" s="4" t="s">
        <v>2530</v>
      </c>
      <c r="O77" s="4" t="s">
        <v>2601</v>
      </c>
      <c r="P77" s="4" t="s">
        <v>2503</v>
      </c>
      <c r="Q77" s="4" t="s">
        <v>2504</v>
      </c>
      <c r="R77" s="4"/>
      <c r="S77" s="4"/>
      <c r="T77" s="4" t="str">
        <f>HYPERLINK("http://slimages.macys.com/is/image/MCY/19977735 ")</f>
        <v xml:space="preserve">http://slimages.macys.com/is/image/MCY/19977735 </v>
      </c>
    </row>
    <row r="78" spans="1:20" ht="15" customHeight="1" x14ac:dyDescent="0.25">
      <c r="A78" s="4" t="s">
        <v>2489</v>
      </c>
      <c r="B78" s="2" t="s">
        <v>2487</v>
      </c>
      <c r="C78" s="2" t="s">
        <v>2488</v>
      </c>
      <c r="D78" s="5" t="s">
        <v>2490</v>
      </c>
      <c r="E78" s="4" t="s">
        <v>2491</v>
      </c>
      <c r="F78" s="6">
        <v>14278836</v>
      </c>
      <c r="G78" s="3">
        <v>14278836</v>
      </c>
      <c r="H78" s="7">
        <v>733004746192</v>
      </c>
      <c r="I78" s="8" t="s">
        <v>1959</v>
      </c>
      <c r="J78" s="4">
        <v>1</v>
      </c>
      <c r="K78" s="9">
        <v>6.99</v>
      </c>
      <c r="L78" s="9">
        <v>6.99</v>
      </c>
      <c r="M78" s="4" t="s">
        <v>2885</v>
      </c>
      <c r="N78" s="4" t="s">
        <v>2505</v>
      </c>
      <c r="O78" s="4" t="s">
        <v>2601</v>
      </c>
      <c r="P78" s="4" t="s">
        <v>2503</v>
      </c>
      <c r="Q78" s="4" t="s">
        <v>2504</v>
      </c>
      <c r="R78" s="4"/>
      <c r="S78" s="4"/>
      <c r="T78" s="4" t="str">
        <f>HYPERLINK("http://slimages.macys.com/is/image/MCY/19977855 ")</f>
        <v xml:space="preserve">http://slimages.macys.com/is/image/MCY/19977855 </v>
      </c>
    </row>
    <row r="79" spans="1:20" ht="15" customHeight="1" x14ac:dyDescent="0.25">
      <c r="A79" s="4" t="s">
        <v>2489</v>
      </c>
      <c r="B79" s="2" t="s">
        <v>2487</v>
      </c>
      <c r="C79" s="2" t="s">
        <v>2488</v>
      </c>
      <c r="D79" s="5" t="s">
        <v>2490</v>
      </c>
      <c r="E79" s="4" t="s">
        <v>2491</v>
      </c>
      <c r="F79" s="6">
        <v>14278836</v>
      </c>
      <c r="G79" s="3">
        <v>14278836</v>
      </c>
      <c r="H79" s="7">
        <v>196027071953</v>
      </c>
      <c r="I79" s="8" t="s">
        <v>2242</v>
      </c>
      <c r="J79" s="4">
        <v>1</v>
      </c>
      <c r="K79" s="9">
        <v>17.989999999999998</v>
      </c>
      <c r="L79" s="9">
        <v>17.989999999999998</v>
      </c>
      <c r="M79" s="4" t="s">
        <v>2243</v>
      </c>
      <c r="N79" s="4" t="s">
        <v>2544</v>
      </c>
      <c r="O79" s="4" t="s">
        <v>2705</v>
      </c>
      <c r="P79" s="4" t="s">
        <v>2569</v>
      </c>
      <c r="Q79" s="4" t="s">
        <v>2570</v>
      </c>
      <c r="R79" s="4"/>
      <c r="S79" s="4"/>
      <c r="T79" s="4" t="str">
        <f>HYPERLINK("http://slimages.macys.com/is/image/MCY/20583422 ")</f>
        <v xml:space="preserve">http://slimages.macys.com/is/image/MCY/20583422 </v>
      </c>
    </row>
    <row r="80" spans="1:20" ht="15" customHeight="1" x14ac:dyDescent="0.25">
      <c r="A80" s="4" t="s">
        <v>2489</v>
      </c>
      <c r="B80" s="2" t="s">
        <v>2487</v>
      </c>
      <c r="C80" s="2" t="s">
        <v>2488</v>
      </c>
      <c r="D80" s="5" t="s">
        <v>2490</v>
      </c>
      <c r="E80" s="4" t="s">
        <v>2491</v>
      </c>
      <c r="F80" s="6">
        <v>14278836</v>
      </c>
      <c r="G80" s="3">
        <v>14278836</v>
      </c>
      <c r="H80" s="7">
        <v>194870568569</v>
      </c>
      <c r="I80" s="8" t="s">
        <v>2100</v>
      </c>
      <c r="J80" s="4">
        <v>1</v>
      </c>
      <c r="K80" s="9">
        <v>39.99</v>
      </c>
      <c r="L80" s="9">
        <v>39.99</v>
      </c>
      <c r="M80" s="4" t="s">
        <v>2101</v>
      </c>
      <c r="N80" s="4" t="s">
        <v>2682</v>
      </c>
      <c r="O80" s="4" t="s">
        <v>2555</v>
      </c>
      <c r="P80" s="4" t="s">
        <v>2499</v>
      </c>
      <c r="Q80" s="4" t="s">
        <v>2694</v>
      </c>
      <c r="R80" s="4"/>
      <c r="S80" s="4"/>
      <c r="T80" s="4" t="str">
        <f>HYPERLINK("http://slimages.macys.com/is/image/MCY/20234688 ")</f>
        <v xml:space="preserve">http://slimages.macys.com/is/image/MCY/20234688 </v>
      </c>
    </row>
    <row r="81" spans="1:20" ht="15" customHeight="1" x14ac:dyDescent="0.25">
      <c r="A81" s="4" t="s">
        <v>2489</v>
      </c>
      <c r="B81" s="2" t="s">
        <v>2487</v>
      </c>
      <c r="C81" s="2" t="s">
        <v>2488</v>
      </c>
      <c r="D81" s="5" t="s">
        <v>2490</v>
      </c>
      <c r="E81" s="4" t="s">
        <v>2491</v>
      </c>
      <c r="F81" s="6">
        <v>14278836</v>
      </c>
      <c r="G81" s="3">
        <v>14278836</v>
      </c>
      <c r="H81" s="7">
        <v>660168611809</v>
      </c>
      <c r="I81" s="8" t="s">
        <v>2244</v>
      </c>
      <c r="J81" s="4">
        <v>1</v>
      </c>
      <c r="K81" s="9">
        <v>16.989999999999998</v>
      </c>
      <c r="L81" s="9">
        <v>16.989999999999998</v>
      </c>
      <c r="M81" s="4">
        <v>61171</v>
      </c>
      <c r="N81" s="4" t="s">
        <v>2548</v>
      </c>
      <c r="O81" s="4"/>
      <c r="P81" s="4" t="s">
        <v>2533</v>
      </c>
      <c r="Q81" s="4" t="s">
        <v>2534</v>
      </c>
      <c r="R81" s="4"/>
      <c r="S81" s="4"/>
      <c r="T81" s="4" t="str">
        <f>HYPERLINK("http://slimages.macys.com/is/image/MCY/16789482 ")</f>
        <v xml:space="preserve">http://slimages.macys.com/is/image/MCY/16789482 </v>
      </c>
    </row>
    <row r="82" spans="1:20" ht="15" customHeight="1" x14ac:dyDescent="0.25">
      <c r="A82" s="4" t="s">
        <v>2489</v>
      </c>
      <c r="B82" s="2" t="s">
        <v>2487</v>
      </c>
      <c r="C82" s="2" t="s">
        <v>2488</v>
      </c>
      <c r="D82" s="5" t="s">
        <v>2490</v>
      </c>
      <c r="E82" s="4" t="s">
        <v>2491</v>
      </c>
      <c r="F82" s="6">
        <v>14278836</v>
      </c>
      <c r="G82" s="3">
        <v>14278836</v>
      </c>
      <c r="H82" s="7">
        <v>195250203063</v>
      </c>
      <c r="I82" s="8" t="s">
        <v>2245</v>
      </c>
      <c r="J82" s="4">
        <v>1</v>
      </c>
      <c r="K82" s="9">
        <v>25</v>
      </c>
      <c r="L82" s="9">
        <v>25</v>
      </c>
      <c r="M82" s="4">
        <v>1367600</v>
      </c>
      <c r="N82" s="4" t="s">
        <v>2497</v>
      </c>
      <c r="O82" s="4" t="s">
        <v>2498</v>
      </c>
      <c r="P82" s="4" t="s">
        <v>2619</v>
      </c>
      <c r="Q82" s="4" t="s">
        <v>2958</v>
      </c>
      <c r="R82" s="4"/>
      <c r="S82" s="4"/>
      <c r="T82" s="4" t="str">
        <f>HYPERLINK("http://slimages.macys.com/is/image/MCY/20037528 ")</f>
        <v xml:space="preserve">http://slimages.macys.com/is/image/MCY/20037528 </v>
      </c>
    </row>
    <row r="83" spans="1:20" ht="15" customHeight="1" x14ac:dyDescent="0.25">
      <c r="A83" s="4" t="s">
        <v>2489</v>
      </c>
      <c r="B83" s="2" t="s">
        <v>2487</v>
      </c>
      <c r="C83" s="2" t="s">
        <v>2488</v>
      </c>
      <c r="D83" s="5" t="s">
        <v>2490</v>
      </c>
      <c r="E83" s="4" t="s">
        <v>2491</v>
      </c>
      <c r="F83" s="6">
        <v>14278836</v>
      </c>
      <c r="G83" s="3">
        <v>14278836</v>
      </c>
      <c r="H83" s="7">
        <v>194870575314</v>
      </c>
      <c r="I83" s="8" t="s">
        <v>2246</v>
      </c>
      <c r="J83" s="4">
        <v>1</v>
      </c>
      <c r="K83" s="9">
        <v>17.989999999999998</v>
      </c>
      <c r="L83" s="9">
        <v>17.989999999999998</v>
      </c>
      <c r="M83" s="4" t="s">
        <v>2247</v>
      </c>
      <c r="N83" s="4" t="s">
        <v>2501</v>
      </c>
      <c r="O83" s="4" t="s">
        <v>2519</v>
      </c>
      <c r="P83" s="4" t="s">
        <v>2619</v>
      </c>
      <c r="Q83" s="4" t="s">
        <v>2681</v>
      </c>
      <c r="R83" s="4"/>
      <c r="S83" s="4"/>
      <c r="T83" s="4" t="str">
        <f>HYPERLINK("http://slimages.macys.com/is/image/MCY/20267015 ")</f>
        <v xml:space="preserve">http://slimages.macys.com/is/image/MCY/20267015 </v>
      </c>
    </row>
    <row r="84" spans="1:20" ht="15" customHeight="1" x14ac:dyDescent="0.25">
      <c r="A84" s="4" t="s">
        <v>2489</v>
      </c>
      <c r="B84" s="2" t="s">
        <v>2487</v>
      </c>
      <c r="C84" s="2" t="s">
        <v>2488</v>
      </c>
      <c r="D84" s="5" t="s">
        <v>2490</v>
      </c>
      <c r="E84" s="4" t="s">
        <v>2491</v>
      </c>
      <c r="F84" s="6">
        <v>14278836</v>
      </c>
      <c r="G84" s="3">
        <v>14278836</v>
      </c>
      <c r="H84" s="7">
        <v>194955971819</v>
      </c>
      <c r="I84" s="8" t="s">
        <v>2248</v>
      </c>
      <c r="J84" s="4">
        <v>1</v>
      </c>
      <c r="K84" s="9">
        <v>25.99</v>
      </c>
      <c r="L84" s="9">
        <v>25.99</v>
      </c>
      <c r="M84" s="4" t="s">
        <v>2249</v>
      </c>
      <c r="N84" s="4" t="s">
        <v>2614</v>
      </c>
      <c r="O84" s="4" t="s">
        <v>2671</v>
      </c>
      <c r="P84" s="4" t="s">
        <v>2619</v>
      </c>
      <c r="Q84" s="4" t="s">
        <v>2568</v>
      </c>
      <c r="R84" s="4"/>
      <c r="S84" s="4"/>
      <c r="T84" s="4" t="str">
        <f>HYPERLINK("http://slimages.macys.com/is/image/MCY/18226687 ")</f>
        <v xml:space="preserve">http://slimages.macys.com/is/image/MCY/18226687 </v>
      </c>
    </row>
    <row r="85" spans="1:20" ht="15" customHeight="1" x14ac:dyDescent="0.25">
      <c r="A85" s="4" t="s">
        <v>2489</v>
      </c>
      <c r="B85" s="2" t="s">
        <v>2487</v>
      </c>
      <c r="C85" s="2" t="s">
        <v>2488</v>
      </c>
      <c r="D85" s="5" t="s">
        <v>2490</v>
      </c>
      <c r="E85" s="4" t="s">
        <v>2491</v>
      </c>
      <c r="F85" s="6">
        <v>14278836</v>
      </c>
      <c r="G85" s="3">
        <v>14278836</v>
      </c>
      <c r="H85" s="7">
        <v>194135448193</v>
      </c>
      <c r="I85" s="8" t="s">
        <v>2250</v>
      </c>
      <c r="J85" s="4">
        <v>1</v>
      </c>
      <c r="K85" s="9">
        <v>15.36</v>
      </c>
      <c r="L85" s="9">
        <v>15.36</v>
      </c>
      <c r="M85" s="4" t="s">
        <v>2251</v>
      </c>
      <c r="N85" s="4" t="s">
        <v>2501</v>
      </c>
      <c r="O85" s="4" t="s">
        <v>2493</v>
      </c>
      <c r="P85" s="4" t="s">
        <v>2494</v>
      </c>
      <c r="Q85" s="4" t="s">
        <v>2495</v>
      </c>
      <c r="R85" s="4"/>
      <c r="S85" s="4"/>
      <c r="T85" s="4" t="str">
        <f>HYPERLINK("http://slimages.macys.com/is/image/MCY/19836458 ")</f>
        <v xml:space="preserve">http://slimages.macys.com/is/image/MCY/19836458 </v>
      </c>
    </row>
    <row r="86" spans="1:20" ht="15" customHeight="1" x14ac:dyDescent="0.25">
      <c r="A86" s="4" t="s">
        <v>2489</v>
      </c>
      <c r="B86" s="2" t="s">
        <v>2487</v>
      </c>
      <c r="C86" s="2" t="s">
        <v>2488</v>
      </c>
      <c r="D86" s="5" t="s">
        <v>2490</v>
      </c>
      <c r="E86" s="4" t="s">
        <v>2491</v>
      </c>
      <c r="F86" s="6">
        <v>14278836</v>
      </c>
      <c r="G86" s="3">
        <v>14278836</v>
      </c>
      <c r="H86" s="7">
        <v>733004759222</v>
      </c>
      <c r="I86" s="8" t="s">
        <v>2252</v>
      </c>
      <c r="J86" s="4">
        <v>1</v>
      </c>
      <c r="K86" s="9">
        <v>12.99</v>
      </c>
      <c r="L86" s="9">
        <v>12.99</v>
      </c>
      <c r="M86" s="4" t="s">
        <v>1778</v>
      </c>
      <c r="N86" s="4" t="s">
        <v>2561</v>
      </c>
      <c r="O86" s="4" t="s">
        <v>2653</v>
      </c>
      <c r="P86" s="4" t="s">
        <v>2515</v>
      </c>
      <c r="Q86" s="4" t="s">
        <v>2672</v>
      </c>
      <c r="R86" s="4"/>
      <c r="S86" s="4"/>
      <c r="T86" s="4" t="str">
        <f>HYPERLINK("http://slimages.macys.com/is/image/MCY/20530797 ")</f>
        <v xml:space="preserve">http://slimages.macys.com/is/image/MCY/20530797 </v>
      </c>
    </row>
    <row r="87" spans="1:20" ht="15" customHeight="1" x14ac:dyDescent="0.25">
      <c r="A87" s="4" t="s">
        <v>2489</v>
      </c>
      <c r="B87" s="2" t="s">
        <v>2487</v>
      </c>
      <c r="C87" s="2" t="s">
        <v>2488</v>
      </c>
      <c r="D87" s="5" t="s">
        <v>2490</v>
      </c>
      <c r="E87" s="4" t="s">
        <v>2491</v>
      </c>
      <c r="F87" s="6">
        <v>14278836</v>
      </c>
      <c r="G87" s="3">
        <v>14278836</v>
      </c>
      <c r="H87" s="7">
        <v>194257550521</v>
      </c>
      <c r="I87" s="8" t="s">
        <v>2253</v>
      </c>
      <c r="J87" s="4">
        <v>1</v>
      </c>
      <c r="K87" s="9">
        <v>9.99</v>
      </c>
      <c r="L87" s="9">
        <v>9.99</v>
      </c>
      <c r="M87" s="4" t="s">
        <v>2254</v>
      </c>
      <c r="N87" s="4" t="s">
        <v>2501</v>
      </c>
      <c r="O87" s="4">
        <v>4</v>
      </c>
      <c r="P87" s="4" t="s">
        <v>2619</v>
      </c>
      <c r="Q87" s="4" t="s">
        <v>2654</v>
      </c>
      <c r="R87" s="4"/>
      <c r="S87" s="4"/>
      <c r="T87" s="4" t="str">
        <f>HYPERLINK("http://slimages.macys.com/is/image/MCY/19902187 ")</f>
        <v xml:space="preserve">http://slimages.macys.com/is/image/MCY/19902187 </v>
      </c>
    </row>
    <row r="88" spans="1:20" ht="15" customHeight="1" x14ac:dyDescent="0.25">
      <c r="A88" s="4" t="s">
        <v>2489</v>
      </c>
      <c r="B88" s="2" t="s">
        <v>2487</v>
      </c>
      <c r="C88" s="2" t="s">
        <v>2488</v>
      </c>
      <c r="D88" s="5" t="s">
        <v>2490</v>
      </c>
      <c r="E88" s="4" t="s">
        <v>2491</v>
      </c>
      <c r="F88" s="6">
        <v>14278836</v>
      </c>
      <c r="G88" s="3">
        <v>14278836</v>
      </c>
      <c r="H88" s="7">
        <v>194135715684</v>
      </c>
      <c r="I88" s="8" t="s">
        <v>2255</v>
      </c>
      <c r="J88" s="4">
        <v>1</v>
      </c>
      <c r="K88" s="9">
        <v>22.52</v>
      </c>
      <c r="L88" s="9">
        <v>22.52</v>
      </c>
      <c r="M88" s="4" t="s">
        <v>2256</v>
      </c>
      <c r="N88" s="4" t="s">
        <v>2774</v>
      </c>
      <c r="O88" s="4" t="s">
        <v>2607</v>
      </c>
      <c r="P88" s="4" t="s">
        <v>2494</v>
      </c>
      <c r="Q88" s="4" t="s">
        <v>2495</v>
      </c>
      <c r="R88" s="4"/>
      <c r="S88" s="4"/>
      <c r="T88" s="4" t="str">
        <f>HYPERLINK("http://slimages.macys.com/is/image/MCY/19968130 ")</f>
        <v xml:space="preserve">http://slimages.macys.com/is/image/MCY/19968130 </v>
      </c>
    </row>
    <row r="89" spans="1:20" ht="15" customHeight="1" x14ac:dyDescent="0.25">
      <c r="A89" s="4" t="s">
        <v>2489</v>
      </c>
      <c r="B89" s="2" t="s">
        <v>2487</v>
      </c>
      <c r="C89" s="2" t="s">
        <v>2488</v>
      </c>
      <c r="D89" s="5" t="s">
        <v>2490</v>
      </c>
      <c r="E89" s="4" t="s">
        <v>2491</v>
      </c>
      <c r="F89" s="6">
        <v>14278836</v>
      </c>
      <c r="G89" s="3">
        <v>14278836</v>
      </c>
      <c r="H89" s="7">
        <v>733004059605</v>
      </c>
      <c r="I89" s="8" t="s">
        <v>2257</v>
      </c>
      <c r="J89" s="4">
        <v>1</v>
      </c>
      <c r="K89" s="9">
        <v>19.989999999999998</v>
      </c>
      <c r="L89" s="9">
        <v>19.989999999999998</v>
      </c>
      <c r="M89" s="4" t="s">
        <v>2258</v>
      </c>
      <c r="N89" s="4" t="s">
        <v>2731</v>
      </c>
      <c r="O89" s="4" t="s">
        <v>2519</v>
      </c>
      <c r="P89" s="4" t="s">
        <v>2520</v>
      </c>
      <c r="Q89" s="4" t="s">
        <v>2521</v>
      </c>
      <c r="R89" s="4"/>
      <c r="S89" s="4"/>
      <c r="T89" s="4" t="str">
        <f>HYPERLINK("http://slimages.macys.com/is/image/MCY/19800094 ")</f>
        <v xml:space="preserve">http://slimages.macys.com/is/image/MCY/19800094 </v>
      </c>
    </row>
    <row r="90" spans="1:20" ht="15" customHeight="1" x14ac:dyDescent="0.25">
      <c r="A90" s="4" t="s">
        <v>2489</v>
      </c>
      <c r="B90" s="2" t="s">
        <v>2487</v>
      </c>
      <c r="C90" s="2" t="s">
        <v>2488</v>
      </c>
      <c r="D90" s="5" t="s">
        <v>2490</v>
      </c>
      <c r="E90" s="4" t="s">
        <v>2491</v>
      </c>
      <c r="F90" s="6">
        <v>14278836</v>
      </c>
      <c r="G90" s="3">
        <v>14278836</v>
      </c>
      <c r="H90" s="7">
        <v>742728753492</v>
      </c>
      <c r="I90" s="8" t="s">
        <v>2259</v>
      </c>
      <c r="J90" s="4">
        <v>1</v>
      </c>
      <c r="K90" s="9">
        <v>16.989999999999998</v>
      </c>
      <c r="L90" s="9">
        <v>16.989999999999998</v>
      </c>
      <c r="M90" s="4" t="s">
        <v>3406</v>
      </c>
      <c r="N90" s="4" t="s">
        <v>2501</v>
      </c>
      <c r="O90" s="4">
        <v>6</v>
      </c>
      <c r="P90" s="4" t="s">
        <v>2619</v>
      </c>
      <c r="Q90" s="4" t="s">
        <v>2733</v>
      </c>
      <c r="R90" s="4"/>
      <c r="S90" s="4"/>
      <c r="T90" s="4" t="str">
        <f>HYPERLINK("http://slimages.macys.com/is/image/MCY/19696299 ")</f>
        <v xml:space="preserve">http://slimages.macys.com/is/image/MCY/19696299 </v>
      </c>
    </row>
    <row r="91" spans="1:20" ht="15" customHeight="1" x14ac:dyDescent="0.25">
      <c r="A91" s="4" t="s">
        <v>2489</v>
      </c>
      <c r="B91" s="2" t="s">
        <v>2487</v>
      </c>
      <c r="C91" s="2" t="s">
        <v>2488</v>
      </c>
      <c r="D91" s="5" t="s">
        <v>2490</v>
      </c>
      <c r="E91" s="4" t="s">
        <v>2491</v>
      </c>
      <c r="F91" s="6">
        <v>14278836</v>
      </c>
      <c r="G91" s="3">
        <v>14278836</v>
      </c>
      <c r="H91" s="7">
        <v>194135411432</v>
      </c>
      <c r="I91" s="8" t="s">
        <v>2260</v>
      </c>
      <c r="J91" s="4">
        <v>5</v>
      </c>
      <c r="K91" s="9">
        <v>25.23</v>
      </c>
      <c r="L91" s="9">
        <v>126.15</v>
      </c>
      <c r="M91" s="4" t="s">
        <v>2261</v>
      </c>
      <c r="N91" s="4"/>
      <c r="O91" s="4">
        <v>7</v>
      </c>
      <c r="P91" s="4" t="s">
        <v>2657</v>
      </c>
      <c r="Q91" s="4" t="s">
        <v>2716</v>
      </c>
      <c r="R91" s="4"/>
      <c r="S91" s="4"/>
      <c r="T91" s="4" t="str">
        <f>HYPERLINK("http://slimages.macys.com/is/image/MCY/19974154 ")</f>
        <v xml:space="preserve">http://slimages.macys.com/is/image/MCY/19974154 </v>
      </c>
    </row>
    <row r="92" spans="1:20" ht="15" customHeight="1" x14ac:dyDescent="0.25">
      <c r="A92" s="4" t="s">
        <v>2489</v>
      </c>
      <c r="B92" s="2" t="s">
        <v>2487</v>
      </c>
      <c r="C92" s="2" t="s">
        <v>2488</v>
      </c>
      <c r="D92" s="5" t="s">
        <v>2490</v>
      </c>
      <c r="E92" s="4" t="s">
        <v>2491</v>
      </c>
      <c r="F92" s="6">
        <v>14278836</v>
      </c>
      <c r="G92" s="3">
        <v>14278836</v>
      </c>
      <c r="H92" s="7">
        <v>194753992368</v>
      </c>
      <c r="I92" s="8" t="s">
        <v>2959</v>
      </c>
      <c r="J92" s="4">
        <v>8</v>
      </c>
      <c r="K92" s="9">
        <v>42.5</v>
      </c>
      <c r="L92" s="9">
        <v>340</v>
      </c>
      <c r="M92" s="4" t="s">
        <v>2960</v>
      </c>
      <c r="N92" s="4" t="s">
        <v>2682</v>
      </c>
      <c r="O92" s="4"/>
      <c r="P92" s="4" t="s">
        <v>2866</v>
      </c>
      <c r="Q92" s="4" t="s">
        <v>2913</v>
      </c>
      <c r="R92" s="4"/>
      <c r="S92" s="4"/>
      <c r="T92" s="4" t="str">
        <f>HYPERLINK("http://slimages.macys.com/is/image/MCY/19881309 ")</f>
        <v xml:space="preserve">http://slimages.macys.com/is/image/MCY/19881309 </v>
      </c>
    </row>
    <row r="93" spans="1:20" ht="15" customHeight="1" x14ac:dyDescent="0.25">
      <c r="A93" s="4" t="s">
        <v>2489</v>
      </c>
      <c r="B93" s="2" t="s">
        <v>2487</v>
      </c>
      <c r="C93" s="2" t="s">
        <v>2488</v>
      </c>
      <c r="D93" s="5" t="s">
        <v>2490</v>
      </c>
      <c r="E93" s="4" t="s">
        <v>2491</v>
      </c>
      <c r="F93" s="6">
        <v>14278836</v>
      </c>
      <c r="G93" s="3">
        <v>14278836</v>
      </c>
      <c r="H93" s="7">
        <v>762120077712</v>
      </c>
      <c r="I93" s="8" t="s">
        <v>2262</v>
      </c>
      <c r="J93" s="4">
        <v>1</v>
      </c>
      <c r="K93" s="9">
        <v>12.99</v>
      </c>
      <c r="L93" s="9">
        <v>12.99</v>
      </c>
      <c r="M93" s="4" t="s">
        <v>3392</v>
      </c>
      <c r="N93" s="4" t="s">
        <v>2497</v>
      </c>
      <c r="O93" s="4" t="s">
        <v>2650</v>
      </c>
      <c r="P93" s="4" t="s">
        <v>2520</v>
      </c>
      <c r="Q93" s="4" t="s">
        <v>2528</v>
      </c>
      <c r="R93" s="4"/>
      <c r="S93" s="4"/>
      <c r="T93" s="4" t="str">
        <f>HYPERLINK("http://slimages.macys.com/is/image/MCY/20665853 ")</f>
        <v xml:space="preserve">http://slimages.macys.com/is/image/MCY/20665853 </v>
      </c>
    </row>
    <row r="94" spans="1:20" ht="15" customHeight="1" x14ac:dyDescent="0.25">
      <c r="A94" s="4" t="s">
        <v>2489</v>
      </c>
      <c r="B94" s="2" t="s">
        <v>2487</v>
      </c>
      <c r="C94" s="2" t="s">
        <v>2488</v>
      </c>
      <c r="D94" s="5" t="s">
        <v>2490</v>
      </c>
      <c r="E94" s="4" t="s">
        <v>2491</v>
      </c>
      <c r="F94" s="6">
        <v>14278836</v>
      </c>
      <c r="G94" s="3">
        <v>14278836</v>
      </c>
      <c r="H94" s="7">
        <v>38257548976</v>
      </c>
      <c r="I94" s="8" t="s">
        <v>2263</v>
      </c>
      <c r="J94" s="4">
        <v>1</v>
      </c>
      <c r="K94" s="9">
        <v>12.99</v>
      </c>
      <c r="L94" s="9">
        <v>12.99</v>
      </c>
      <c r="M94" s="4" t="s">
        <v>2264</v>
      </c>
      <c r="N94" s="4" t="s">
        <v>2501</v>
      </c>
      <c r="O94" s="4" t="s">
        <v>2265</v>
      </c>
      <c r="P94" s="4" t="s">
        <v>2666</v>
      </c>
      <c r="Q94" s="4" t="s">
        <v>2266</v>
      </c>
      <c r="R94" s="4" t="s">
        <v>2552</v>
      </c>
      <c r="S94" s="4" t="s">
        <v>2267</v>
      </c>
      <c r="T94" s="4" t="str">
        <f>HYPERLINK("http://slimages.macys.com/is/image/MCY/2216731 ")</f>
        <v xml:space="preserve">http://slimages.macys.com/is/image/MCY/2216731 </v>
      </c>
    </row>
    <row r="95" spans="1:20" ht="15" customHeight="1" x14ac:dyDescent="0.25">
      <c r="A95" s="4" t="s">
        <v>2489</v>
      </c>
      <c r="B95" s="2" t="s">
        <v>2487</v>
      </c>
      <c r="C95" s="2" t="s">
        <v>2488</v>
      </c>
      <c r="D95" s="5" t="s">
        <v>2490</v>
      </c>
      <c r="E95" s="4" t="s">
        <v>2491</v>
      </c>
      <c r="F95" s="6">
        <v>14278836</v>
      </c>
      <c r="G95" s="3">
        <v>14278836</v>
      </c>
      <c r="H95" s="7">
        <v>194654508316</v>
      </c>
      <c r="I95" s="8" t="s">
        <v>2268</v>
      </c>
      <c r="J95" s="4">
        <v>1</v>
      </c>
      <c r="K95" s="9">
        <v>56</v>
      </c>
      <c r="L95" s="9">
        <v>56</v>
      </c>
      <c r="M95" s="4" t="s">
        <v>2269</v>
      </c>
      <c r="N95" s="4" t="s">
        <v>2530</v>
      </c>
      <c r="O95" s="4">
        <v>9.5</v>
      </c>
      <c r="P95" s="4" t="s">
        <v>2510</v>
      </c>
      <c r="Q95" s="4" t="s">
        <v>2545</v>
      </c>
      <c r="R95" s="4"/>
      <c r="S95" s="4"/>
      <c r="T95" s="4" t="str">
        <f>HYPERLINK("http://slimages.macys.com/is/image/MCY/19794708 ")</f>
        <v xml:space="preserve">http://slimages.macys.com/is/image/MCY/19794708 </v>
      </c>
    </row>
    <row r="96" spans="1:20" ht="15" customHeight="1" x14ac:dyDescent="0.25">
      <c r="A96" s="4" t="s">
        <v>2489</v>
      </c>
      <c r="B96" s="2" t="s">
        <v>2487</v>
      </c>
      <c r="C96" s="2" t="s">
        <v>2488</v>
      </c>
      <c r="D96" s="5" t="s">
        <v>2490</v>
      </c>
      <c r="E96" s="4" t="s">
        <v>2491</v>
      </c>
      <c r="F96" s="6">
        <v>14278836</v>
      </c>
      <c r="G96" s="3">
        <v>14278836</v>
      </c>
      <c r="H96" s="7">
        <v>762120126410</v>
      </c>
      <c r="I96" s="8" t="s">
        <v>2270</v>
      </c>
      <c r="J96" s="4">
        <v>1</v>
      </c>
      <c r="K96" s="9">
        <v>6.99</v>
      </c>
      <c r="L96" s="9">
        <v>6.99</v>
      </c>
      <c r="M96" s="4" t="s">
        <v>2271</v>
      </c>
      <c r="N96" s="4" t="s">
        <v>2600</v>
      </c>
      <c r="O96" s="4" t="s">
        <v>2566</v>
      </c>
      <c r="P96" s="4" t="s">
        <v>2503</v>
      </c>
      <c r="Q96" s="4" t="s">
        <v>2504</v>
      </c>
      <c r="R96" s="4"/>
      <c r="S96" s="4"/>
      <c r="T96" s="4" t="str">
        <f>HYPERLINK("http://slimages.macys.com/is/image/MCY/1504449 ")</f>
        <v xml:space="preserve">http://slimages.macys.com/is/image/MCY/1504449 </v>
      </c>
    </row>
    <row r="97" spans="1:20" ht="15" customHeight="1" x14ac:dyDescent="0.25">
      <c r="A97" s="4" t="s">
        <v>2489</v>
      </c>
      <c r="B97" s="2" t="s">
        <v>2487</v>
      </c>
      <c r="C97" s="2" t="s">
        <v>2488</v>
      </c>
      <c r="D97" s="5" t="s">
        <v>2490</v>
      </c>
      <c r="E97" s="4" t="s">
        <v>2491</v>
      </c>
      <c r="F97" s="6">
        <v>14278836</v>
      </c>
      <c r="G97" s="3">
        <v>14278836</v>
      </c>
      <c r="H97" s="7">
        <v>733004286476</v>
      </c>
      <c r="I97" s="8" t="s">
        <v>2272</v>
      </c>
      <c r="J97" s="4">
        <v>1</v>
      </c>
      <c r="K97" s="9">
        <v>6.99</v>
      </c>
      <c r="L97" s="9">
        <v>6.99</v>
      </c>
      <c r="M97" s="4" t="s">
        <v>2273</v>
      </c>
      <c r="N97" s="4" t="s">
        <v>2561</v>
      </c>
      <c r="O97" s="4"/>
      <c r="P97" s="4" t="s">
        <v>2503</v>
      </c>
      <c r="Q97" s="4" t="s">
        <v>2504</v>
      </c>
      <c r="R97" s="4"/>
      <c r="S97" s="4"/>
      <c r="T97" s="4" t="str">
        <f>HYPERLINK("http://slimages.macys.com/is/image/MCY/19754374 ")</f>
        <v xml:space="preserve">http://slimages.macys.com/is/image/MCY/19754374 </v>
      </c>
    </row>
    <row r="98" spans="1:20" ht="15" customHeight="1" x14ac:dyDescent="0.25">
      <c r="A98" s="4" t="s">
        <v>2489</v>
      </c>
      <c r="B98" s="2" t="s">
        <v>2487</v>
      </c>
      <c r="C98" s="2" t="s">
        <v>2488</v>
      </c>
      <c r="D98" s="5" t="s">
        <v>2490</v>
      </c>
      <c r="E98" s="4" t="s">
        <v>2491</v>
      </c>
      <c r="F98" s="6">
        <v>14278836</v>
      </c>
      <c r="G98" s="3">
        <v>14278836</v>
      </c>
      <c r="H98" s="7">
        <v>733003192808</v>
      </c>
      <c r="I98" s="8" t="s">
        <v>2274</v>
      </c>
      <c r="J98" s="4">
        <v>1</v>
      </c>
      <c r="K98" s="9">
        <v>14.99</v>
      </c>
      <c r="L98" s="9">
        <v>14.99</v>
      </c>
      <c r="M98" s="4" t="s">
        <v>3398</v>
      </c>
      <c r="N98" s="4" t="s">
        <v>2561</v>
      </c>
      <c r="O98" s="4"/>
      <c r="P98" s="4" t="s">
        <v>2515</v>
      </c>
      <c r="Q98" s="4" t="s">
        <v>2672</v>
      </c>
      <c r="R98" s="4"/>
      <c r="S98" s="4"/>
      <c r="T98" s="4" t="str">
        <f>HYPERLINK("http://slimages.macys.com/is/image/MCY/19505448 ")</f>
        <v xml:space="preserve">http://slimages.macys.com/is/image/MCY/19505448 </v>
      </c>
    </row>
    <row r="99" spans="1:20" ht="15" customHeight="1" x14ac:dyDescent="0.25">
      <c r="A99" s="4" t="s">
        <v>2489</v>
      </c>
      <c r="B99" s="2" t="s">
        <v>2487</v>
      </c>
      <c r="C99" s="2" t="s">
        <v>2488</v>
      </c>
      <c r="D99" s="5" t="s">
        <v>2490</v>
      </c>
      <c r="E99" s="4" t="s">
        <v>2491</v>
      </c>
      <c r="F99" s="6">
        <v>14278836</v>
      </c>
      <c r="G99" s="3">
        <v>14278836</v>
      </c>
      <c r="H99" s="7">
        <v>885031491054</v>
      </c>
      <c r="I99" s="8" t="s">
        <v>2275</v>
      </c>
      <c r="J99" s="4">
        <v>1</v>
      </c>
      <c r="K99" s="9">
        <v>29.5</v>
      </c>
      <c r="L99" s="9">
        <v>29.5</v>
      </c>
      <c r="M99" s="4">
        <v>323853891007</v>
      </c>
      <c r="N99" s="4" t="s">
        <v>2731</v>
      </c>
      <c r="O99" s="4" t="s">
        <v>2498</v>
      </c>
      <c r="P99" s="4" t="s">
        <v>2615</v>
      </c>
      <c r="Q99" s="4" t="s">
        <v>2616</v>
      </c>
      <c r="R99" s="4"/>
      <c r="S99" s="4"/>
      <c r="T99" s="4" t="str">
        <f>HYPERLINK("http://slimages.macys.com/is/image/MCY/19675580 ")</f>
        <v xml:space="preserve">http://slimages.macys.com/is/image/MCY/19675580 </v>
      </c>
    </row>
    <row r="100" spans="1:20" ht="15" customHeight="1" x14ac:dyDescent="0.25">
      <c r="A100" s="4" t="s">
        <v>2489</v>
      </c>
      <c r="B100" s="2" t="s">
        <v>2487</v>
      </c>
      <c r="C100" s="2" t="s">
        <v>2488</v>
      </c>
      <c r="D100" s="5" t="s">
        <v>2490</v>
      </c>
      <c r="E100" s="4" t="s">
        <v>2491</v>
      </c>
      <c r="F100" s="6">
        <v>14278836</v>
      </c>
      <c r="G100" s="3">
        <v>14278836</v>
      </c>
      <c r="H100" s="7">
        <v>762120087261</v>
      </c>
      <c r="I100" s="8" t="s">
        <v>3151</v>
      </c>
      <c r="J100" s="4">
        <v>5</v>
      </c>
      <c r="K100" s="9">
        <v>11.99</v>
      </c>
      <c r="L100" s="9">
        <v>59.95</v>
      </c>
      <c r="M100" s="4" t="s">
        <v>3045</v>
      </c>
      <c r="N100" s="4" t="s">
        <v>2567</v>
      </c>
      <c r="O100" s="4" t="s">
        <v>2628</v>
      </c>
      <c r="P100" s="4" t="s">
        <v>2602</v>
      </c>
      <c r="Q100" s="4" t="s">
        <v>2528</v>
      </c>
      <c r="R100" s="4"/>
      <c r="S100" s="4"/>
      <c r="T100" s="4" t="str">
        <f>HYPERLINK("http://slimages.macys.com/is/image/MCY/20691889 ")</f>
        <v xml:space="preserve">http://slimages.macys.com/is/image/MCY/20691889 </v>
      </c>
    </row>
    <row r="101" spans="1:20" ht="15" customHeight="1" x14ac:dyDescent="0.25">
      <c r="A101" s="4" t="s">
        <v>2489</v>
      </c>
      <c r="B101" s="2" t="s">
        <v>2487</v>
      </c>
      <c r="C101" s="2" t="s">
        <v>2488</v>
      </c>
      <c r="D101" s="5" t="s">
        <v>2490</v>
      </c>
      <c r="E101" s="4" t="s">
        <v>2491</v>
      </c>
      <c r="F101" s="6">
        <v>14278836</v>
      </c>
      <c r="G101" s="3">
        <v>14278836</v>
      </c>
      <c r="H101" s="7">
        <v>733003907914</v>
      </c>
      <c r="I101" s="8" t="s">
        <v>2276</v>
      </c>
      <c r="J101" s="4">
        <v>1</v>
      </c>
      <c r="K101" s="9">
        <v>28.99</v>
      </c>
      <c r="L101" s="9">
        <v>28.99</v>
      </c>
      <c r="M101" s="4" t="s">
        <v>2277</v>
      </c>
      <c r="N101" s="4" t="s">
        <v>2611</v>
      </c>
      <c r="O101" s="4" t="s">
        <v>2566</v>
      </c>
      <c r="P101" s="4" t="s">
        <v>2503</v>
      </c>
      <c r="Q101" s="4" t="s">
        <v>2504</v>
      </c>
      <c r="R101" s="4"/>
      <c r="S101" s="4"/>
      <c r="T101" s="4" t="str">
        <f>HYPERLINK("http://slimages.macys.com/is/image/MCY/19511472 ")</f>
        <v xml:space="preserve">http://slimages.macys.com/is/image/MCY/19511472 </v>
      </c>
    </row>
    <row r="102" spans="1:20" ht="15" customHeight="1" x14ac:dyDescent="0.25">
      <c r="A102" s="4" t="s">
        <v>2489</v>
      </c>
      <c r="B102" s="2" t="s">
        <v>2487</v>
      </c>
      <c r="C102" s="2" t="s">
        <v>2488</v>
      </c>
      <c r="D102" s="5" t="s">
        <v>2490</v>
      </c>
      <c r="E102" s="4" t="s">
        <v>2491</v>
      </c>
      <c r="F102" s="6">
        <v>14278836</v>
      </c>
      <c r="G102" s="3">
        <v>14278836</v>
      </c>
      <c r="H102" s="7">
        <v>194135540149</v>
      </c>
      <c r="I102" s="8" t="s">
        <v>2278</v>
      </c>
      <c r="J102" s="4">
        <v>1</v>
      </c>
      <c r="K102" s="9">
        <v>15.46</v>
      </c>
      <c r="L102" s="9">
        <v>15.46</v>
      </c>
      <c r="M102" s="4" t="s">
        <v>2279</v>
      </c>
      <c r="N102" s="4"/>
      <c r="O102" s="4" t="s">
        <v>2502</v>
      </c>
      <c r="P102" s="4" t="s">
        <v>2494</v>
      </c>
      <c r="Q102" s="4" t="s">
        <v>2560</v>
      </c>
      <c r="R102" s="4"/>
      <c r="S102" s="4"/>
      <c r="T102" s="4" t="str">
        <f>HYPERLINK("http://slimages.macys.com/is/image/MCY/19916870 ")</f>
        <v xml:space="preserve">http://slimages.macys.com/is/image/MCY/19916870 </v>
      </c>
    </row>
    <row r="103" spans="1:20" ht="15" customHeight="1" x14ac:dyDescent="0.25">
      <c r="A103" s="4" t="s">
        <v>2489</v>
      </c>
      <c r="B103" s="2" t="s">
        <v>2487</v>
      </c>
      <c r="C103" s="2" t="s">
        <v>2488</v>
      </c>
      <c r="D103" s="5" t="s">
        <v>2490</v>
      </c>
      <c r="E103" s="4" t="s">
        <v>2491</v>
      </c>
      <c r="F103" s="6">
        <v>14278836</v>
      </c>
      <c r="G103" s="3">
        <v>14278836</v>
      </c>
      <c r="H103" s="7">
        <v>195239422799</v>
      </c>
      <c r="I103" s="8" t="s">
        <v>2280</v>
      </c>
      <c r="J103" s="4">
        <v>1</v>
      </c>
      <c r="K103" s="9">
        <v>18.989999999999998</v>
      </c>
      <c r="L103" s="9">
        <v>18.989999999999998</v>
      </c>
      <c r="M103" s="4" t="s">
        <v>2281</v>
      </c>
      <c r="N103" s="4" t="s">
        <v>2535</v>
      </c>
      <c r="O103" s="4" t="s">
        <v>2555</v>
      </c>
      <c r="P103" s="4" t="s">
        <v>2499</v>
      </c>
      <c r="Q103" s="4" t="s">
        <v>2568</v>
      </c>
      <c r="R103" s="4"/>
      <c r="S103" s="4"/>
      <c r="T103" s="4" t="str">
        <f>HYPERLINK("http://slimages.macys.com/is/image/MCY/21276396 ")</f>
        <v xml:space="preserve">http://slimages.macys.com/is/image/MCY/21276396 </v>
      </c>
    </row>
    <row r="104" spans="1:20" ht="15" customHeight="1" x14ac:dyDescent="0.25">
      <c r="A104" s="4" t="s">
        <v>2489</v>
      </c>
      <c r="B104" s="2" t="s">
        <v>2487</v>
      </c>
      <c r="C104" s="2" t="s">
        <v>2488</v>
      </c>
      <c r="D104" s="5" t="s">
        <v>2490</v>
      </c>
      <c r="E104" s="4" t="s">
        <v>2491</v>
      </c>
      <c r="F104" s="6">
        <v>14278836</v>
      </c>
      <c r="G104" s="3">
        <v>14278836</v>
      </c>
      <c r="H104" s="7">
        <v>762120016292</v>
      </c>
      <c r="I104" s="8" t="s">
        <v>2282</v>
      </c>
      <c r="J104" s="4">
        <v>1</v>
      </c>
      <c r="K104" s="9">
        <v>11.99</v>
      </c>
      <c r="L104" s="9">
        <v>11.99</v>
      </c>
      <c r="M104" s="4" t="s">
        <v>2162</v>
      </c>
      <c r="N104" s="4" t="s">
        <v>2565</v>
      </c>
      <c r="O104" s="4" t="s">
        <v>2498</v>
      </c>
      <c r="P104" s="4" t="s">
        <v>2520</v>
      </c>
      <c r="Q104" s="4" t="s">
        <v>2521</v>
      </c>
      <c r="R104" s="4"/>
      <c r="S104" s="4"/>
      <c r="T104" s="4" t="str">
        <f>HYPERLINK("http://slimages.macys.com/is/image/MCY/20673081 ")</f>
        <v xml:space="preserve">http://slimages.macys.com/is/image/MCY/20673081 </v>
      </c>
    </row>
    <row r="105" spans="1:20" ht="15" customHeight="1" x14ac:dyDescent="0.25">
      <c r="A105" s="4" t="s">
        <v>2489</v>
      </c>
      <c r="B105" s="2" t="s">
        <v>2487</v>
      </c>
      <c r="C105" s="2" t="s">
        <v>2488</v>
      </c>
      <c r="D105" s="5" t="s">
        <v>2490</v>
      </c>
      <c r="E105" s="4" t="s">
        <v>2491</v>
      </c>
      <c r="F105" s="6">
        <v>14278836</v>
      </c>
      <c r="G105" s="3">
        <v>14278836</v>
      </c>
      <c r="H105" s="7">
        <v>194135412071</v>
      </c>
      <c r="I105" s="8" t="s">
        <v>2283</v>
      </c>
      <c r="J105" s="4">
        <v>1</v>
      </c>
      <c r="K105" s="9">
        <v>20.62</v>
      </c>
      <c r="L105" s="9">
        <v>20.62</v>
      </c>
      <c r="M105" s="4" t="s">
        <v>2284</v>
      </c>
      <c r="N105" s="4"/>
      <c r="O105" s="4"/>
      <c r="P105" s="4" t="s">
        <v>2657</v>
      </c>
      <c r="Q105" s="4" t="s">
        <v>2716</v>
      </c>
      <c r="R105" s="4"/>
      <c r="S105" s="4"/>
      <c r="T105" s="4" t="str">
        <f>HYPERLINK("http://slimages.macys.com/is/image/MCY/19968104 ")</f>
        <v xml:space="preserve">http://slimages.macys.com/is/image/MCY/19968104 </v>
      </c>
    </row>
    <row r="106" spans="1:20" ht="15" customHeight="1" x14ac:dyDescent="0.25">
      <c r="A106" s="4" t="s">
        <v>2489</v>
      </c>
      <c r="B106" s="2" t="s">
        <v>2487</v>
      </c>
      <c r="C106" s="2" t="s">
        <v>2488</v>
      </c>
      <c r="D106" s="5" t="s">
        <v>2490</v>
      </c>
      <c r="E106" s="4" t="s">
        <v>2491</v>
      </c>
      <c r="F106" s="6">
        <v>14278836</v>
      </c>
      <c r="G106" s="3">
        <v>14278836</v>
      </c>
      <c r="H106" s="7">
        <v>195238038168</v>
      </c>
      <c r="I106" s="8" t="s">
        <v>2285</v>
      </c>
      <c r="J106" s="4">
        <v>1</v>
      </c>
      <c r="K106" s="9">
        <v>28.99</v>
      </c>
      <c r="L106" s="9">
        <v>28.99</v>
      </c>
      <c r="M106" s="4" t="s">
        <v>2884</v>
      </c>
      <c r="N106" s="4" t="s">
        <v>2676</v>
      </c>
      <c r="O106" s="4" t="s">
        <v>2671</v>
      </c>
      <c r="P106" s="4" t="s">
        <v>2619</v>
      </c>
      <c r="Q106" s="4" t="s">
        <v>2568</v>
      </c>
      <c r="R106" s="4"/>
      <c r="S106" s="4"/>
      <c r="T106" s="4" t="str">
        <f>HYPERLINK("http://slimages.macys.com/is/image/MCY/19219363 ")</f>
        <v xml:space="preserve">http://slimages.macys.com/is/image/MCY/19219363 </v>
      </c>
    </row>
    <row r="107" spans="1:20" ht="15" customHeight="1" x14ac:dyDescent="0.25">
      <c r="A107" s="4" t="s">
        <v>2489</v>
      </c>
      <c r="B107" s="2" t="s">
        <v>2487</v>
      </c>
      <c r="C107" s="2" t="s">
        <v>2488</v>
      </c>
      <c r="D107" s="5" t="s">
        <v>2490</v>
      </c>
      <c r="E107" s="4" t="s">
        <v>2491</v>
      </c>
      <c r="F107" s="6">
        <v>14278836</v>
      </c>
      <c r="G107" s="3">
        <v>14278836</v>
      </c>
      <c r="H107" s="7">
        <v>762120087254</v>
      </c>
      <c r="I107" s="8" t="s">
        <v>3458</v>
      </c>
      <c r="J107" s="4">
        <v>5</v>
      </c>
      <c r="K107" s="9">
        <v>11.99</v>
      </c>
      <c r="L107" s="9">
        <v>59.95</v>
      </c>
      <c r="M107" s="4" t="s">
        <v>3045</v>
      </c>
      <c r="N107" s="4" t="s">
        <v>2567</v>
      </c>
      <c r="O107" s="4">
        <v>6</v>
      </c>
      <c r="P107" s="4" t="s">
        <v>2602</v>
      </c>
      <c r="Q107" s="4" t="s">
        <v>2528</v>
      </c>
      <c r="R107" s="4"/>
      <c r="S107" s="4"/>
      <c r="T107" s="4" t="str">
        <f>HYPERLINK("http://slimages.macys.com/is/image/MCY/20691887 ")</f>
        <v xml:space="preserve">http://slimages.macys.com/is/image/MCY/20691887 </v>
      </c>
    </row>
    <row r="108" spans="1:20" ht="15" customHeight="1" x14ac:dyDescent="0.25">
      <c r="A108" s="4" t="s">
        <v>2489</v>
      </c>
      <c r="B108" s="2" t="s">
        <v>2487</v>
      </c>
      <c r="C108" s="2" t="s">
        <v>2488</v>
      </c>
      <c r="D108" s="5" t="s">
        <v>2490</v>
      </c>
      <c r="E108" s="4" t="s">
        <v>2491</v>
      </c>
      <c r="F108" s="6">
        <v>14278836</v>
      </c>
      <c r="G108" s="3">
        <v>14278836</v>
      </c>
      <c r="H108" s="7">
        <v>733004748554</v>
      </c>
      <c r="I108" s="8" t="s">
        <v>2286</v>
      </c>
      <c r="J108" s="4">
        <v>4</v>
      </c>
      <c r="K108" s="9">
        <v>7.99</v>
      </c>
      <c r="L108" s="9">
        <v>31.96</v>
      </c>
      <c r="M108" s="4" t="s">
        <v>2287</v>
      </c>
      <c r="N108" s="4" t="s">
        <v>2505</v>
      </c>
      <c r="O108" s="4" t="s">
        <v>2629</v>
      </c>
      <c r="P108" s="4" t="s">
        <v>2503</v>
      </c>
      <c r="Q108" s="4" t="s">
        <v>2504</v>
      </c>
      <c r="R108" s="4"/>
      <c r="S108" s="4"/>
      <c r="T108" s="4" t="str">
        <f>HYPERLINK("http://slimages.macys.com/is/image/MCY/19977352 ")</f>
        <v xml:space="preserve">http://slimages.macys.com/is/image/MCY/19977352 </v>
      </c>
    </row>
    <row r="109" spans="1:20" ht="15" customHeight="1" x14ac:dyDescent="0.25">
      <c r="A109" s="4" t="s">
        <v>2489</v>
      </c>
      <c r="B109" s="2" t="s">
        <v>2487</v>
      </c>
      <c r="C109" s="2" t="s">
        <v>2488</v>
      </c>
      <c r="D109" s="5" t="s">
        <v>2490</v>
      </c>
      <c r="E109" s="4" t="s">
        <v>2491</v>
      </c>
      <c r="F109" s="6">
        <v>14278836</v>
      </c>
      <c r="G109" s="3">
        <v>14278836</v>
      </c>
      <c r="H109" s="7">
        <v>762120121460</v>
      </c>
      <c r="I109" s="8" t="s">
        <v>2288</v>
      </c>
      <c r="J109" s="4">
        <v>2</v>
      </c>
      <c r="K109" s="9">
        <v>5.99</v>
      </c>
      <c r="L109" s="9">
        <v>11.98</v>
      </c>
      <c r="M109" s="4" t="s">
        <v>2926</v>
      </c>
      <c r="N109" s="4" t="s">
        <v>2531</v>
      </c>
      <c r="O109" s="4" t="s">
        <v>2566</v>
      </c>
      <c r="P109" s="4" t="s">
        <v>2503</v>
      </c>
      <c r="Q109" s="4" t="s">
        <v>2504</v>
      </c>
      <c r="R109" s="4"/>
      <c r="S109" s="4"/>
      <c r="T109" s="4" t="str">
        <f>HYPERLINK("http://slimages.macys.com/is/image/MCY/20385993 ")</f>
        <v xml:space="preserve">http://slimages.macys.com/is/image/MCY/20385993 </v>
      </c>
    </row>
    <row r="110" spans="1:20" ht="15" customHeight="1" x14ac:dyDescent="0.25">
      <c r="A110" s="4" t="s">
        <v>2489</v>
      </c>
      <c r="B110" s="2" t="s">
        <v>2487</v>
      </c>
      <c r="C110" s="2" t="s">
        <v>2488</v>
      </c>
      <c r="D110" s="5" t="s">
        <v>2490</v>
      </c>
      <c r="E110" s="4" t="s">
        <v>2491</v>
      </c>
      <c r="F110" s="6">
        <v>14278836</v>
      </c>
      <c r="G110" s="3">
        <v>14278836</v>
      </c>
      <c r="H110" s="7">
        <v>733004884535</v>
      </c>
      <c r="I110" s="8" t="s">
        <v>2646</v>
      </c>
      <c r="J110" s="4">
        <v>1</v>
      </c>
      <c r="K110" s="9">
        <v>8.99</v>
      </c>
      <c r="L110" s="9">
        <v>8.99</v>
      </c>
      <c r="M110" s="4" t="s">
        <v>2647</v>
      </c>
      <c r="N110" s="4" t="s">
        <v>2501</v>
      </c>
      <c r="O110" s="4" t="s">
        <v>2601</v>
      </c>
      <c r="P110" s="4" t="s">
        <v>2503</v>
      </c>
      <c r="Q110" s="4" t="s">
        <v>2504</v>
      </c>
      <c r="R110" s="4"/>
      <c r="S110" s="4"/>
      <c r="T110" s="4" t="str">
        <f>HYPERLINK("http://slimages.macys.com/is/image/MCY/20142471 ")</f>
        <v xml:space="preserve">http://slimages.macys.com/is/image/MCY/20142471 </v>
      </c>
    </row>
    <row r="111" spans="1:20" ht="15" customHeight="1" x14ac:dyDescent="0.25">
      <c r="A111" s="4" t="s">
        <v>2489</v>
      </c>
      <c r="B111" s="2" t="s">
        <v>2487</v>
      </c>
      <c r="C111" s="2" t="s">
        <v>2488</v>
      </c>
      <c r="D111" s="5" t="s">
        <v>2490</v>
      </c>
      <c r="E111" s="4" t="s">
        <v>2491</v>
      </c>
      <c r="F111" s="6">
        <v>14278836</v>
      </c>
      <c r="G111" s="3">
        <v>14278836</v>
      </c>
      <c r="H111" s="7">
        <v>733004746284</v>
      </c>
      <c r="I111" s="8" t="s">
        <v>2289</v>
      </c>
      <c r="J111" s="4">
        <v>1</v>
      </c>
      <c r="K111" s="9">
        <v>6.99</v>
      </c>
      <c r="L111" s="9">
        <v>6.99</v>
      </c>
      <c r="M111" s="4" t="s">
        <v>3187</v>
      </c>
      <c r="N111" s="4" t="s">
        <v>2565</v>
      </c>
      <c r="O111" s="4" t="s">
        <v>2559</v>
      </c>
      <c r="P111" s="4" t="s">
        <v>2503</v>
      </c>
      <c r="Q111" s="4" t="s">
        <v>2504</v>
      </c>
      <c r="R111" s="4"/>
      <c r="S111" s="4"/>
      <c r="T111" s="4" t="str">
        <f>HYPERLINK("http://slimages.macys.com/is/image/MCY/19977361 ")</f>
        <v xml:space="preserve">http://slimages.macys.com/is/image/MCY/19977361 </v>
      </c>
    </row>
    <row r="112" spans="1:20" ht="15" customHeight="1" x14ac:dyDescent="0.25">
      <c r="A112" s="4" t="s">
        <v>2489</v>
      </c>
      <c r="B112" s="2" t="s">
        <v>2487</v>
      </c>
      <c r="C112" s="2" t="s">
        <v>2488</v>
      </c>
      <c r="D112" s="5" t="s">
        <v>2490</v>
      </c>
      <c r="E112" s="4" t="s">
        <v>2491</v>
      </c>
      <c r="F112" s="6">
        <v>14278836</v>
      </c>
      <c r="G112" s="3">
        <v>14278836</v>
      </c>
      <c r="H112" s="7">
        <v>762120023481</v>
      </c>
      <c r="I112" s="8" t="s">
        <v>2290</v>
      </c>
      <c r="J112" s="4">
        <v>1</v>
      </c>
      <c r="K112" s="9">
        <v>6.99</v>
      </c>
      <c r="L112" s="9">
        <v>6.99</v>
      </c>
      <c r="M112" s="4" t="s">
        <v>2517</v>
      </c>
      <c r="N112" s="4" t="s">
        <v>2565</v>
      </c>
      <c r="O112" s="4" t="s">
        <v>2502</v>
      </c>
      <c r="P112" s="4" t="s">
        <v>2503</v>
      </c>
      <c r="Q112" s="4" t="s">
        <v>2504</v>
      </c>
      <c r="R112" s="4"/>
      <c r="S112" s="4"/>
      <c r="T112" s="4" t="str">
        <f>HYPERLINK("http://slimages.macys.com/is/image/MCY/19977451 ")</f>
        <v xml:space="preserve">http://slimages.macys.com/is/image/MCY/19977451 </v>
      </c>
    </row>
    <row r="113" spans="1:20" ht="15" customHeight="1" x14ac:dyDescent="0.25">
      <c r="A113" s="4" t="s">
        <v>2489</v>
      </c>
      <c r="B113" s="2" t="s">
        <v>2487</v>
      </c>
      <c r="C113" s="2" t="s">
        <v>2488</v>
      </c>
      <c r="D113" s="5" t="s">
        <v>2490</v>
      </c>
      <c r="E113" s="4" t="s">
        <v>2491</v>
      </c>
      <c r="F113" s="6">
        <v>14278836</v>
      </c>
      <c r="G113" s="3">
        <v>14278836</v>
      </c>
      <c r="H113" s="7">
        <v>733004745805</v>
      </c>
      <c r="I113" s="8" t="s">
        <v>1808</v>
      </c>
      <c r="J113" s="4">
        <v>2</v>
      </c>
      <c r="K113" s="9">
        <v>6.99</v>
      </c>
      <c r="L113" s="9">
        <v>13.98</v>
      </c>
      <c r="M113" s="4" t="s">
        <v>2852</v>
      </c>
      <c r="N113" s="4" t="s">
        <v>2565</v>
      </c>
      <c r="O113" s="4" t="s">
        <v>2493</v>
      </c>
      <c r="P113" s="4" t="s">
        <v>2503</v>
      </c>
      <c r="Q113" s="4" t="s">
        <v>2504</v>
      </c>
      <c r="R113" s="4"/>
      <c r="S113" s="4"/>
      <c r="T113" s="4" t="str">
        <f>HYPERLINK("http://slimages.macys.com/is/image/MCY/19977364 ")</f>
        <v xml:space="preserve">http://slimages.macys.com/is/image/MCY/19977364 </v>
      </c>
    </row>
    <row r="114" spans="1:20" ht="15" customHeight="1" x14ac:dyDescent="0.25">
      <c r="A114" s="4" t="s">
        <v>2489</v>
      </c>
      <c r="B114" s="2" t="s">
        <v>2487</v>
      </c>
      <c r="C114" s="2" t="s">
        <v>2488</v>
      </c>
      <c r="D114" s="5" t="s">
        <v>2490</v>
      </c>
      <c r="E114" s="4" t="s">
        <v>2491</v>
      </c>
      <c r="F114" s="6">
        <v>14278836</v>
      </c>
      <c r="G114" s="3">
        <v>14278836</v>
      </c>
      <c r="H114" s="7">
        <v>733004779411</v>
      </c>
      <c r="I114" s="8" t="s">
        <v>2291</v>
      </c>
      <c r="J114" s="4">
        <v>1</v>
      </c>
      <c r="K114" s="9">
        <v>7.99</v>
      </c>
      <c r="L114" s="9">
        <v>7.99</v>
      </c>
      <c r="M114" s="4" t="s">
        <v>2292</v>
      </c>
      <c r="N114" s="4" t="s">
        <v>2501</v>
      </c>
      <c r="O114" s="4" t="s">
        <v>2628</v>
      </c>
      <c r="P114" s="4" t="s">
        <v>2602</v>
      </c>
      <c r="Q114" s="4" t="s">
        <v>2528</v>
      </c>
      <c r="R114" s="4"/>
      <c r="S114" s="4"/>
      <c r="T114" s="4" t="str">
        <f>HYPERLINK("http://slimages.macys.com/is/image/MCY/20450158 ")</f>
        <v xml:space="preserve">http://slimages.macys.com/is/image/MCY/20450158 </v>
      </c>
    </row>
    <row r="115" spans="1:20" ht="15" customHeight="1" x14ac:dyDescent="0.25">
      <c r="A115" s="4" t="s">
        <v>2489</v>
      </c>
      <c r="B115" s="2" t="s">
        <v>2487</v>
      </c>
      <c r="C115" s="2" t="s">
        <v>2488</v>
      </c>
      <c r="D115" s="5" t="s">
        <v>2490</v>
      </c>
      <c r="E115" s="4" t="s">
        <v>2491</v>
      </c>
      <c r="F115" s="6">
        <v>14278836</v>
      </c>
      <c r="G115" s="3">
        <v>14278836</v>
      </c>
      <c r="H115" s="7">
        <v>762120123532</v>
      </c>
      <c r="I115" s="8" t="s">
        <v>1835</v>
      </c>
      <c r="J115" s="4">
        <v>1</v>
      </c>
      <c r="K115" s="9">
        <v>6.99</v>
      </c>
      <c r="L115" s="9">
        <v>6.99</v>
      </c>
      <c r="M115" s="4" t="s">
        <v>1794</v>
      </c>
      <c r="N115" s="4" t="s">
        <v>2561</v>
      </c>
      <c r="O115" s="4" t="s">
        <v>2566</v>
      </c>
      <c r="P115" s="4" t="s">
        <v>2503</v>
      </c>
      <c r="Q115" s="4" t="s">
        <v>2504</v>
      </c>
      <c r="R115" s="4"/>
      <c r="S115" s="4"/>
      <c r="T115" s="4" t="str">
        <f>HYPERLINK("http://slimages.macys.com/is/image/MCY/20385731 ")</f>
        <v xml:space="preserve">http://slimages.macys.com/is/image/MCY/20385731 </v>
      </c>
    </row>
    <row r="116" spans="1:20" ht="15" customHeight="1" x14ac:dyDescent="0.25">
      <c r="A116" s="4" t="s">
        <v>2489</v>
      </c>
      <c r="B116" s="2" t="s">
        <v>2487</v>
      </c>
      <c r="C116" s="2" t="s">
        <v>2488</v>
      </c>
      <c r="D116" s="5" t="s">
        <v>2490</v>
      </c>
      <c r="E116" s="4" t="s">
        <v>2491</v>
      </c>
      <c r="F116" s="6">
        <v>14278836</v>
      </c>
      <c r="G116" s="3">
        <v>14278836</v>
      </c>
      <c r="H116" s="7">
        <v>195883273822</v>
      </c>
      <c r="I116" s="8" t="s">
        <v>2293</v>
      </c>
      <c r="J116" s="4">
        <v>1</v>
      </c>
      <c r="K116" s="9">
        <v>10.99</v>
      </c>
      <c r="L116" s="9">
        <v>10.99</v>
      </c>
      <c r="M116" s="4" t="s">
        <v>2084</v>
      </c>
      <c r="N116" s="4" t="s">
        <v>2514</v>
      </c>
      <c r="O116" s="4">
        <v>6</v>
      </c>
      <c r="P116" s="4" t="s">
        <v>2536</v>
      </c>
      <c r="Q116" s="4" t="s">
        <v>2944</v>
      </c>
      <c r="R116" s="4"/>
      <c r="S116" s="4"/>
      <c r="T116" s="4" t="str">
        <f>HYPERLINK("http://slimages.macys.com/is/image/MCY/19856675 ")</f>
        <v xml:space="preserve">http://slimages.macys.com/is/image/MCY/19856675 </v>
      </c>
    </row>
    <row r="117" spans="1:20" ht="15" customHeight="1" x14ac:dyDescent="0.25">
      <c r="A117" s="4" t="s">
        <v>2489</v>
      </c>
      <c r="B117" s="2" t="s">
        <v>2487</v>
      </c>
      <c r="C117" s="2" t="s">
        <v>2488</v>
      </c>
      <c r="D117" s="5" t="s">
        <v>2490</v>
      </c>
      <c r="E117" s="4" t="s">
        <v>2491</v>
      </c>
      <c r="F117" s="6">
        <v>14278836</v>
      </c>
      <c r="G117" s="3">
        <v>14278836</v>
      </c>
      <c r="H117" s="7">
        <v>733004748530</v>
      </c>
      <c r="I117" s="8" t="s">
        <v>2294</v>
      </c>
      <c r="J117" s="4">
        <v>1</v>
      </c>
      <c r="K117" s="9">
        <v>7.99</v>
      </c>
      <c r="L117" s="9">
        <v>7.99</v>
      </c>
      <c r="M117" s="4" t="s">
        <v>2836</v>
      </c>
      <c r="N117" s="4" t="s">
        <v>2505</v>
      </c>
      <c r="O117" s="4" t="s">
        <v>2628</v>
      </c>
      <c r="P117" s="4" t="s">
        <v>2503</v>
      </c>
      <c r="Q117" s="4" t="s">
        <v>2504</v>
      </c>
      <c r="R117" s="4"/>
      <c r="S117" s="4"/>
      <c r="T117" s="4" t="str">
        <f>HYPERLINK("http://slimages.macys.com/is/image/MCY/19977345 ")</f>
        <v xml:space="preserve">http://slimages.macys.com/is/image/MCY/19977345 </v>
      </c>
    </row>
    <row r="118" spans="1:20" ht="15" customHeight="1" x14ac:dyDescent="0.25">
      <c r="A118" s="4" t="s">
        <v>2489</v>
      </c>
      <c r="B118" s="2" t="s">
        <v>2487</v>
      </c>
      <c r="C118" s="2" t="s">
        <v>2488</v>
      </c>
      <c r="D118" s="5" t="s">
        <v>2490</v>
      </c>
      <c r="E118" s="4" t="s">
        <v>2491</v>
      </c>
      <c r="F118" s="6">
        <v>14278836</v>
      </c>
      <c r="G118" s="3">
        <v>14278836</v>
      </c>
      <c r="H118" s="7">
        <v>733004920295</v>
      </c>
      <c r="I118" s="8" t="s">
        <v>2295</v>
      </c>
      <c r="J118" s="4">
        <v>2</v>
      </c>
      <c r="K118" s="9">
        <v>7.99</v>
      </c>
      <c r="L118" s="9">
        <v>15.98</v>
      </c>
      <c r="M118" s="4" t="s">
        <v>2296</v>
      </c>
      <c r="N118" s="4" t="s">
        <v>2565</v>
      </c>
      <c r="O118" s="4" t="s">
        <v>2629</v>
      </c>
      <c r="P118" s="4" t="s">
        <v>2503</v>
      </c>
      <c r="Q118" s="4" t="s">
        <v>2504</v>
      </c>
      <c r="R118" s="4"/>
      <c r="S118" s="4"/>
      <c r="T118" s="4" t="str">
        <f>HYPERLINK("http://slimages.macys.com/is/image/MCY/19977735 ")</f>
        <v xml:space="preserve">http://slimages.macys.com/is/image/MCY/19977735 </v>
      </c>
    </row>
    <row r="119" spans="1:20" ht="15" customHeight="1" x14ac:dyDescent="0.25">
      <c r="A119" s="4" t="s">
        <v>2489</v>
      </c>
      <c r="B119" s="2" t="s">
        <v>2487</v>
      </c>
      <c r="C119" s="2" t="s">
        <v>2488</v>
      </c>
      <c r="D119" s="5" t="s">
        <v>2490</v>
      </c>
      <c r="E119" s="4" t="s">
        <v>2491</v>
      </c>
      <c r="F119" s="6">
        <v>14278836</v>
      </c>
      <c r="G119" s="3">
        <v>14278836</v>
      </c>
      <c r="H119" s="7">
        <v>762120113281</v>
      </c>
      <c r="I119" s="8" t="s">
        <v>2006</v>
      </c>
      <c r="J119" s="4">
        <v>1</v>
      </c>
      <c r="K119" s="9">
        <v>6.99</v>
      </c>
      <c r="L119" s="9">
        <v>6.99</v>
      </c>
      <c r="M119" s="4" t="s">
        <v>2660</v>
      </c>
      <c r="N119" s="4" t="s">
        <v>2598</v>
      </c>
      <c r="O119" s="4" t="s">
        <v>2493</v>
      </c>
      <c r="P119" s="4" t="s">
        <v>2503</v>
      </c>
      <c r="Q119" s="4" t="s">
        <v>2504</v>
      </c>
      <c r="R119" s="4"/>
      <c r="S119" s="4"/>
      <c r="T119" s="4" t="str">
        <f>HYPERLINK("http://slimages.macys.com/is/image/MCY/19977390 ")</f>
        <v xml:space="preserve">http://slimages.macys.com/is/image/MCY/19977390 </v>
      </c>
    </row>
    <row r="120" spans="1:20" ht="15" customHeight="1" x14ac:dyDescent="0.25">
      <c r="A120" s="4" t="s">
        <v>2489</v>
      </c>
      <c r="B120" s="2" t="s">
        <v>2487</v>
      </c>
      <c r="C120" s="2" t="s">
        <v>2488</v>
      </c>
      <c r="D120" s="5" t="s">
        <v>2490</v>
      </c>
      <c r="E120" s="4" t="s">
        <v>2491</v>
      </c>
      <c r="F120" s="6">
        <v>14278836</v>
      </c>
      <c r="G120" s="3">
        <v>14278836</v>
      </c>
      <c r="H120" s="7">
        <v>762120112987</v>
      </c>
      <c r="I120" s="8" t="s">
        <v>2021</v>
      </c>
      <c r="J120" s="4">
        <v>1</v>
      </c>
      <c r="K120" s="9">
        <v>6.99</v>
      </c>
      <c r="L120" s="9">
        <v>6.99</v>
      </c>
      <c r="M120" s="4" t="s">
        <v>3332</v>
      </c>
      <c r="N120" s="4" t="s">
        <v>2571</v>
      </c>
      <c r="O120" s="4" t="s">
        <v>2601</v>
      </c>
      <c r="P120" s="4" t="s">
        <v>2503</v>
      </c>
      <c r="Q120" s="4" t="s">
        <v>2504</v>
      </c>
      <c r="R120" s="4"/>
      <c r="S120" s="4"/>
      <c r="T120" s="4" t="str">
        <f>HYPERLINK("http://slimages.macys.com/is/image/MCY/19976989 ")</f>
        <v xml:space="preserve">http://slimages.macys.com/is/image/MCY/19976989 </v>
      </c>
    </row>
    <row r="121" spans="1:20" ht="15" customHeight="1" x14ac:dyDescent="0.25">
      <c r="A121" s="4" t="s">
        <v>2489</v>
      </c>
      <c r="B121" s="2" t="s">
        <v>2487</v>
      </c>
      <c r="C121" s="2" t="s">
        <v>2488</v>
      </c>
      <c r="D121" s="5" t="s">
        <v>2490</v>
      </c>
      <c r="E121" s="4" t="s">
        <v>2491</v>
      </c>
      <c r="F121" s="6">
        <v>14278836</v>
      </c>
      <c r="G121" s="3">
        <v>14278836</v>
      </c>
      <c r="H121" s="7">
        <v>81715951207</v>
      </c>
      <c r="I121" s="8" t="s">
        <v>2297</v>
      </c>
      <c r="J121" s="4">
        <v>1</v>
      </c>
      <c r="K121" s="9">
        <v>12.99</v>
      </c>
      <c r="L121" s="9">
        <v>12.99</v>
      </c>
      <c r="M121" s="4" t="s">
        <v>2298</v>
      </c>
      <c r="N121" s="4" t="s">
        <v>2492</v>
      </c>
      <c r="O121" s="4" t="s">
        <v>2538</v>
      </c>
      <c r="P121" s="4" t="s">
        <v>2539</v>
      </c>
      <c r="Q121" s="4" t="s">
        <v>2540</v>
      </c>
      <c r="R121" s="4"/>
      <c r="S121" s="4"/>
      <c r="T121" s="4" t="str">
        <f>HYPERLINK("http://slimages.macys.com/is/image/MCY/20478241 ")</f>
        <v xml:space="preserve">http://slimages.macys.com/is/image/MCY/20478241 </v>
      </c>
    </row>
    <row r="122" spans="1:20" ht="15" customHeight="1" x14ac:dyDescent="0.25">
      <c r="A122" s="4" t="s">
        <v>2489</v>
      </c>
      <c r="B122" s="2" t="s">
        <v>2487</v>
      </c>
      <c r="C122" s="2" t="s">
        <v>2488</v>
      </c>
      <c r="D122" s="5" t="s">
        <v>2490</v>
      </c>
      <c r="E122" s="4" t="s">
        <v>2491</v>
      </c>
      <c r="F122" s="6">
        <v>14278836</v>
      </c>
      <c r="G122" s="3">
        <v>14278836</v>
      </c>
      <c r="H122" s="7">
        <v>617844280736</v>
      </c>
      <c r="I122" s="8" t="s">
        <v>2299</v>
      </c>
      <c r="J122" s="4">
        <v>1</v>
      </c>
      <c r="K122" s="9">
        <v>39.99</v>
      </c>
      <c r="L122" s="9">
        <v>39.99</v>
      </c>
      <c r="M122" s="4" t="s">
        <v>2902</v>
      </c>
      <c r="N122" s="4" t="s">
        <v>2523</v>
      </c>
      <c r="O122" s="4">
        <v>18</v>
      </c>
      <c r="P122" s="4" t="s">
        <v>2564</v>
      </c>
      <c r="Q122" s="4" t="s">
        <v>2507</v>
      </c>
      <c r="R122" s="4" t="s">
        <v>2552</v>
      </c>
      <c r="S122" s="4" t="s">
        <v>2609</v>
      </c>
      <c r="T122" s="4" t="str">
        <f>HYPERLINK("http://slimages.macys.com/is/image/MCY/3696437 ")</f>
        <v xml:space="preserve">http://slimages.macys.com/is/image/MCY/3696437 </v>
      </c>
    </row>
    <row r="123" spans="1:20" ht="15" customHeight="1" x14ac:dyDescent="0.25">
      <c r="A123" s="4" t="s">
        <v>2489</v>
      </c>
      <c r="B123" s="2" t="s">
        <v>2487</v>
      </c>
      <c r="C123" s="2" t="s">
        <v>2488</v>
      </c>
      <c r="D123" s="5" t="s">
        <v>2490</v>
      </c>
      <c r="E123" s="4" t="s">
        <v>2491</v>
      </c>
      <c r="F123" s="6">
        <v>14278836</v>
      </c>
      <c r="G123" s="3">
        <v>14278836</v>
      </c>
      <c r="H123" s="7">
        <v>733003643034</v>
      </c>
      <c r="I123" s="8" t="s">
        <v>1991</v>
      </c>
      <c r="J123" s="4">
        <v>1</v>
      </c>
      <c r="K123" s="9">
        <v>21.99</v>
      </c>
      <c r="L123" s="9">
        <v>21.99</v>
      </c>
      <c r="M123" s="4" t="s">
        <v>1917</v>
      </c>
      <c r="N123" s="4" t="s">
        <v>2567</v>
      </c>
      <c r="O123" s="4" t="s">
        <v>2671</v>
      </c>
      <c r="P123" s="4" t="s">
        <v>2515</v>
      </c>
      <c r="Q123" s="4" t="s">
        <v>2516</v>
      </c>
      <c r="R123" s="4"/>
      <c r="S123" s="4"/>
      <c r="T123" s="4" t="str">
        <f>HYPERLINK("http://slimages.macys.com/is/image/MCY/20008274 ")</f>
        <v xml:space="preserve">http://slimages.macys.com/is/image/MCY/20008274 </v>
      </c>
    </row>
    <row r="124" spans="1:20" ht="15" customHeight="1" x14ac:dyDescent="0.25">
      <c r="A124" s="4" t="s">
        <v>2489</v>
      </c>
      <c r="B124" s="2" t="s">
        <v>2487</v>
      </c>
      <c r="C124" s="2" t="s">
        <v>2488</v>
      </c>
      <c r="D124" s="5" t="s">
        <v>2490</v>
      </c>
      <c r="E124" s="4" t="s">
        <v>2491</v>
      </c>
      <c r="F124" s="6">
        <v>14278836</v>
      </c>
      <c r="G124" s="3">
        <v>14278836</v>
      </c>
      <c r="H124" s="7">
        <v>742728603926</v>
      </c>
      <c r="I124" s="8" t="s">
        <v>2300</v>
      </c>
      <c r="J124" s="4">
        <v>1</v>
      </c>
      <c r="K124" s="9">
        <v>17.989999999999998</v>
      </c>
      <c r="L124" s="9">
        <v>17.989999999999998</v>
      </c>
      <c r="M124" s="4" t="s">
        <v>2301</v>
      </c>
      <c r="N124" s="4" t="s">
        <v>2561</v>
      </c>
      <c r="O124" s="4">
        <v>6</v>
      </c>
      <c r="P124" s="4" t="s">
        <v>2619</v>
      </c>
      <c r="Q124" s="4" t="s">
        <v>2733</v>
      </c>
      <c r="R124" s="4"/>
      <c r="S124" s="4"/>
      <c r="T124" s="4" t="str">
        <f>HYPERLINK("http://slimages.macys.com/is/image/MCY/19327583 ")</f>
        <v xml:space="preserve">http://slimages.macys.com/is/image/MCY/19327583 </v>
      </c>
    </row>
    <row r="125" spans="1:20" ht="15" customHeight="1" x14ac:dyDescent="0.25">
      <c r="A125" s="4" t="s">
        <v>2489</v>
      </c>
      <c r="B125" s="2" t="s">
        <v>2487</v>
      </c>
      <c r="C125" s="2" t="s">
        <v>2488</v>
      </c>
      <c r="D125" s="5" t="s">
        <v>2490</v>
      </c>
      <c r="E125" s="4" t="s">
        <v>2491</v>
      </c>
      <c r="F125" s="6">
        <v>14278836</v>
      </c>
      <c r="G125" s="3">
        <v>14278836</v>
      </c>
      <c r="H125" s="7">
        <v>194870573877</v>
      </c>
      <c r="I125" s="8" t="s">
        <v>2302</v>
      </c>
      <c r="J125" s="4">
        <v>1</v>
      </c>
      <c r="K125" s="9">
        <v>30.99</v>
      </c>
      <c r="L125" s="9">
        <v>30.99</v>
      </c>
      <c r="M125" s="4" t="s">
        <v>2303</v>
      </c>
      <c r="N125" s="4" t="s">
        <v>2501</v>
      </c>
      <c r="O125" s="4" t="s">
        <v>2746</v>
      </c>
      <c r="P125" s="4" t="s">
        <v>2562</v>
      </c>
      <c r="Q125" s="4" t="s">
        <v>2881</v>
      </c>
      <c r="R125" s="4"/>
      <c r="S125" s="4"/>
      <c r="T125" s="4" t="str">
        <f>HYPERLINK("http://slimages.macys.com/is/image/MCY/20074244 ")</f>
        <v xml:space="preserve">http://slimages.macys.com/is/image/MCY/20074244 </v>
      </c>
    </row>
    <row r="126" spans="1:20" ht="15" customHeight="1" x14ac:dyDescent="0.25">
      <c r="A126" s="4" t="s">
        <v>2489</v>
      </c>
      <c r="B126" s="2" t="s">
        <v>2487</v>
      </c>
      <c r="C126" s="2" t="s">
        <v>2488</v>
      </c>
      <c r="D126" s="5" t="s">
        <v>2490</v>
      </c>
      <c r="E126" s="4" t="s">
        <v>2491</v>
      </c>
      <c r="F126" s="6">
        <v>14278836</v>
      </c>
      <c r="G126" s="3">
        <v>14278836</v>
      </c>
      <c r="H126" s="7">
        <v>194257532244</v>
      </c>
      <c r="I126" s="8" t="s">
        <v>2304</v>
      </c>
      <c r="J126" s="4">
        <v>1</v>
      </c>
      <c r="K126" s="9">
        <v>29.99</v>
      </c>
      <c r="L126" s="9">
        <v>29.99</v>
      </c>
      <c r="M126" s="4" t="s">
        <v>2305</v>
      </c>
      <c r="N126" s="4" t="s">
        <v>2501</v>
      </c>
      <c r="O126" s="4" t="s">
        <v>2559</v>
      </c>
      <c r="P126" s="4" t="s">
        <v>2740</v>
      </c>
      <c r="Q126" s="4" t="s">
        <v>2654</v>
      </c>
      <c r="R126" s="4"/>
      <c r="S126" s="4"/>
      <c r="T126" s="4" t="str">
        <f>HYPERLINK("http://slimages.macys.com/is/image/MCY/20244778 ")</f>
        <v xml:space="preserve">http://slimages.macys.com/is/image/MCY/20244778 </v>
      </c>
    </row>
    <row r="127" spans="1:20" ht="15" customHeight="1" x14ac:dyDescent="0.25">
      <c r="A127" s="4" t="s">
        <v>2489</v>
      </c>
      <c r="B127" s="2" t="s">
        <v>2487</v>
      </c>
      <c r="C127" s="2" t="s">
        <v>2488</v>
      </c>
      <c r="D127" s="5" t="s">
        <v>2490</v>
      </c>
      <c r="E127" s="4" t="s">
        <v>2491</v>
      </c>
      <c r="F127" s="6">
        <v>14278836</v>
      </c>
      <c r="G127" s="3">
        <v>14278836</v>
      </c>
      <c r="H127" s="7">
        <v>194135029576</v>
      </c>
      <c r="I127" s="8" t="s">
        <v>2306</v>
      </c>
      <c r="J127" s="4">
        <v>2</v>
      </c>
      <c r="K127" s="9">
        <v>14.55</v>
      </c>
      <c r="L127" s="9">
        <v>29.1</v>
      </c>
      <c r="M127" s="4" t="s">
        <v>2307</v>
      </c>
      <c r="N127" s="4"/>
      <c r="O127" s="4" t="s">
        <v>2746</v>
      </c>
      <c r="P127" s="4" t="s">
        <v>2494</v>
      </c>
      <c r="Q127" s="4" t="s">
        <v>2495</v>
      </c>
      <c r="R127" s="4"/>
      <c r="S127" s="4"/>
      <c r="T127" s="4" t="str">
        <f>HYPERLINK("http://slimages.macys.com/is/image/MCY/18846601 ")</f>
        <v xml:space="preserve">http://slimages.macys.com/is/image/MCY/18846601 </v>
      </c>
    </row>
    <row r="128" spans="1:20" ht="15" customHeight="1" x14ac:dyDescent="0.25">
      <c r="A128" s="4" t="s">
        <v>2489</v>
      </c>
      <c r="B128" s="2" t="s">
        <v>2487</v>
      </c>
      <c r="C128" s="2" t="s">
        <v>2488</v>
      </c>
      <c r="D128" s="5" t="s">
        <v>2490</v>
      </c>
      <c r="E128" s="4" t="s">
        <v>2491</v>
      </c>
      <c r="F128" s="6">
        <v>14278836</v>
      </c>
      <c r="G128" s="3">
        <v>14278836</v>
      </c>
      <c r="H128" s="7">
        <v>733003144371</v>
      </c>
      <c r="I128" s="8" t="s">
        <v>2308</v>
      </c>
      <c r="J128" s="4">
        <v>1</v>
      </c>
      <c r="K128" s="9">
        <v>12.99</v>
      </c>
      <c r="L128" s="9">
        <v>12.99</v>
      </c>
      <c r="M128" s="4" t="s">
        <v>3096</v>
      </c>
      <c r="N128" s="4" t="s">
        <v>2665</v>
      </c>
      <c r="O128" s="4" t="s">
        <v>2493</v>
      </c>
      <c r="P128" s="4" t="s">
        <v>2503</v>
      </c>
      <c r="Q128" s="4" t="s">
        <v>2504</v>
      </c>
      <c r="R128" s="4"/>
      <c r="S128" s="4"/>
      <c r="T128" s="4" t="str">
        <f>HYPERLINK("http://slimages.macys.com/is/image/MCY/19218033 ")</f>
        <v xml:space="preserve">http://slimages.macys.com/is/image/MCY/19218033 </v>
      </c>
    </row>
    <row r="129" spans="1:20" ht="15" customHeight="1" x14ac:dyDescent="0.25">
      <c r="A129" s="4" t="s">
        <v>2489</v>
      </c>
      <c r="B129" s="2" t="s">
        <v>2487</v>
      </c>
      <c r="C129" s="2" t="s">
        <v>2488</v>
      </c>
      <c r="D129" s="5" t="s">
        <v>2490</v>
      </c>
      <c r="E129" s="4" t="s">
        <v>2491</v>
      </c>
      <c r="F129" s="6">
        <v>14278836</v>
      </c>
      <c r="G129" s="3">
        <v>14278836</v>
      </c>
      <c r="H129" s="7">
        <v>733004801228</v>
      </c>
      <c r="I129" s="8" t="s">
        <v>2309</v>
      </c>
      <c r="J129" s="4">
        <v>1</v>
      </c>
      <c r="K129" s="9">
        <v>12.99</v>
      </c>
      <c r="L129" s="9">
        <v>12.99</v>
      </c>
      <c r="M129" s="4" t="s">
        <v>1792</v>
      </c>
      <c r="N129" s="4" t="s">
        <v>2548</v>
      </c>
      <c r="O129" s="4" t="s">
        <v>2653</v>
      </c>
      <c r="P129" s="4" t="s">
        <v>2602</v>
      </c>
      <c r="Q129" s="4" t="s">
        <v>2528</v>
      </c>
      <c r="R129" s="4"/>
      <c r="S129" s="4"/>
      <c r="T129" s="4" t="str">
        <f>HYPERLINK("http://slimages.macys.com/is/image/MCY/1088560 ")</f>
        <v xml:space="preserve">http://slimages.macys.com/is/image/MCY/1088560 </v>
      </c>
    </row>
    <row r="130" spans="1:20" ht="15" customHeight="1" x14ac:dyDescent="0.25">
      <c r="A130" s="4" t="s">
        <v>2489</v>
      </c>
      <c r="B130" s="2" t="s">
        <v>2487</v>
      </c>
      <c r="C130" s="2" t="s">
        <v>2488</v>
      </c>
      <c r="D130" s="5" t="s">
        <v>2490</v>
      </c>
      <c r="E130" s="4" t="s">
        <v>2491</v>
      </c>
      <c r="F130" s="6">
        <v>14278836</v>
      </c>
      <c r="G130" s="3">
        <v>14278836</v>
      </c>
      <c r="H130" s="7">
        <v>733004801181</v>
      </c>
      <c r="I130" s="8" t="s">
        <v>1825</v>
      </c>
      <c r="J130" s="4">
        <v>1</v>
      </c>
      <c r="K130" s="9">
        <v>12.99</v>
      </c>
      <c r="L130" s="9">
        <v>12.99</v>
      </c>
      <c r="M130" s="4" t="s">
        <v>1792</v>
      </c>
      <c r="N130" s="4" t="s">
        <v>2548</v>
      </c>
      <c r="O130" s="4">
        <v>6</v>
      </c>
      <c r="P130" s="4" t="s">
        <v>2602</v>
      </c>
      <c r="Q130" s="4" t="s">
        <v>2528</v>
      </c>
      <c r="R130" s="4"/>
      <c r="S130" s="4"/>
      <c r="T130" s="4" t="str">
        <f>HYPERLINK("http://slimages.macys.com/is/image/MCY/1088560 ")</f>
        <v xml:space="preserve">http://slimages.macys.com/is/image/MCY/1088560 </v>
      </c>
    </row>
    <row r="131" spans="1:20" ht="15" customHeight="1" x14ac:dyDescent="0.25">
      <c r="A131" s="4" t="s">
        <v>2489</v>
      </c>
      <c r="B131" s="2" t="s">
        <v>2487</v>
      </c>
      <c r="C131" s="2" t="s">
        <v>2488</v>
      </c>
      <c r="D131" s="5" t="s">
        <v>2490</v>
      </c>
      <c r="E131" s="4" t="s">
        <v>2491</v>
      </c>
      <c r="F131" s="6">
        <v>14278836</v>
      </c>
      <c r="G131" s="3">
        <v>14278836</v>
      </c>
      <c r="H131" s="7">
        <v>733001892434</v>
      </c>
      <c r="I131" s="8" t="s">
        <v>2310</v>
      </c>
      <c r="J131" s="4">
        <v>1</v>
      </c>
      <c r="K131" s="9">
        <v>10.99</v>
      </c>
      <c r="L131" s="9">
        <v>10.99</v>
      </c>
      <c r="M131" s="4" t="s">
        <v>2311</v>
      </c>
      <c r="N131" s="4" t="s">
        <v>2514</v>
      </c>
      <c r="O131" s="4" t="s">
        <v>2555</v>
      </c>
      <c r="P131" s="4" t="s">
        <v>2543</v>
      </c>
      <c r="Q131" s="4" t="s">
        <v>2528</v>
      </c>
      <c r="R131" s="4"/>
      <c r="S131" s="4"/>
      <c r="T131" s="4" t="str">
        <f>HYPERLINK("http://slimages.macys.com/is/image/MCY/999134 ")</f>
        <v xml:space="preserve">http://slimages.macys.com/is/image/MCY/999134 </v>
      </c>
    </row>
    <row r="132" spans="1:20" ht="15" customHeight="1" x14ac:dyDescent="0.25">
      <c r="A132" s="4" t="s">
        <v>2489</v>
      </c>
      <c r="B132" s="2" t="s">
        <v>2487</v>
      </c>
      <c r="C132" s="2" t="s">
        <v>2488</v>
      </c>
      <c r="D132" s="5" t="s">
        <v>2490</v>
      </c>
      <c r="E132" s="4" t="s">
        <v>2491</v>
      </c>
      <c r="F132" s="6">
        <v>14278836</v>
      </c>
      <c r="G132" s="3">
        <v>14278836</v>
      </c>
      <c r="H132" s="7">
        <v>195242800423</v>
      </c>
      <c r="I132" s="8" t="s">
        <v>2312</v>
      </c>
      <c r="J132" s="4">
        <v>3</v>
      </c>
      <c r="K132" s="9">
        <v>33.99</v>
      </c>
      <c r="L132" s="9">
        <v>101.97</v>
      </c>
      <c r="M132" s="4" t="s">
        <v>2313</v>
      </c>
      <c r="N132" s="4" t="s">
        <v>2514</v>
      </c>
      <c r="O132" s="4" t="s">
        <v>2519</v>
      </c>
      <c r="P132" s="4" t="s">
        <v>2619</v>
      </c>
      <c r="Q132" s="4" t="s">
        <v>2568</v>
      </c>
      <c r="R132" s="4"/>
      <c r="S132" s="4"/>
      <c r="T132" s="4" t="str">
        <f>HYPERLINK("http://slimages.macys.com/is/image/MCY/20454635 ")</f>
        <v xml:space="preserve">http://slimages.macys.com/is/image/MCY/20454635 </v>
      </c>
    </row>
    <row r="133" spans="1:20" ht="15" customHeight="1" x14ac:dyDescent="0.25">
      <c r="A133" s="4" t="s">
        <v>2489</v>
      </c>
      <c r="B133" s="2" t="s">
        <v>2487</v>
      </c>
      <c r="C133" s="2" t="s">
        <v>2488</v>
      </c>
      <c r="D133" s="5" t="s">
        <v>2490</v>
      </c>
      <c r="E133" s="4" t="s">
        <v>2491</v>
      </c>
      <c r="F133" s="6">
        <v>14278836</v>
      </c>
      <c r="G133" s="3">
        <v>14278836</v>
      </c>
      <c r="H133" s="7">
        <v>807421436452</v>
      </c>
      <c r="I133" s="8" t="s">
        <v>2314</v>
      </c>
      <c r="J133" s="4">
        <v>1</v>
      </c>
      <c r="K133" s="9">
        <v>19.989999999999998</v>
      </c>
      <c r="L133" s="9">
        <v>19.989999999999998</v>
      </c>
      <c r="M133" s="4" t="s">
        <v>2315</v>
      </c>
      <c r="N133" s="4" t="s">
        <v>2567</v>
      </c>
      <c r="O133" s="4" t="s">
        <v>2555</v>
      </c>
      <c r="P133" s="4" t="s">
        <v>2722</v>
      </c>
      <c r="Q133" s="4" t="s">
        <v>2723</v>
      </c>
      <c r="R133" s="4"/>
      <c r="S133" s="4"/>
      <c r="T133" s="4"/>
    </row>
    <row r="134" spans="1:20" ht="15" customHeight="1" x14ac:dyDescent="0.25">
      <c r="A134" s="4" t="s">
        <v>2489</v>
      </c>
      <c r="B134" s="2" t="s">
        <v>2487</v>
      </c>
      <c r="C134" s="2" t="s">
        <v>2488</v>
      </c>
      <c r="D134" s="5" t="s">
        <v>2490</v>
      </c>
      <c r="E134" s="4" t="s">
        <v>2491</v>
      </c>
      <c r="F134" s="6">
        <v>14278836</v>
      </c>
      <c r="G134" s="3">
        <v>14278836</v>
      </c>
      <c r="H134" s="7">
        <v>8719323587847</v>
      </c>
      <c r="I134" s="8" t="s">
        <v>3430</v>
      </c>
      <c r="J134" s="4">
        <v>1</v>
      </c>
      <c r="K134" s="9">
        <v>79.989999999999995</v>
      </c>
      <c r="L134" s="9">
        <v>79.989999999999995</v>
      </c>
      <c r="M134" s="4" t="s">
        <v>3431</v>
      </c>
      <c r="N134" s="4" t="s">
        <v>2497</v>
      </c>
      <c r="O134" s="4">
        <v>10</v>
      </c>
      <c r="P134" s="4" t="s">
        <v>2622</v>
      </c>
      <c r="Q134" s="4" t="s">
        <v>3432</v>
      </c>
      <c r="R134" s="4" t="s">
        <v>2552</v>
      </c>
      <c r="S134" s="4" t="s">
        <v>2771</v>
      </c>
      <c r="T134" s="4" t="str">
        <f>HYPERLINK("http://slimages.macys.com/is/image/MCY/11252408 ")</f>
        <v xml:space="preserve">http://slimages.macys.com/is/image/MCY/11252408 </v>
      </c>
    </row>
    <row r="135" spans="1:20" ht="15" customHeight="1" x14ac:dyDescent="0.25">
      <c r="A135" s="4" t="s">
        <v>2489</v>
      </c>
      <c r="B135" s="2" t="s">
        <v>2487</v>
      </c>
      <c r="C135" s="2" t="s">
        <v>2488</v>
      </c>
      <c r="D135" s="5" t="s">
        <v>2490</v>
      </c>
      <c r="E135" s="4" t="s">
        <v>2491</v>
      </c>
      <c r="F135" s="6">
        <v>14278836</v>
      </c>
      <c r="G135" s="3">
        <v>14278836</v>
      </c>
      <c r="H135" s="7">
        <v>48283004292</v>
      </c>
      <c r="I135" s="8" t="s">
        <v>2316</v>
      </c>
      <c r="J135" s="4">
        <v>1</v>
      </c>
      <c r="K135" s="9">
        <v>12.28</v>
      </c>
      <c r="L135" s="9">
        <v>12.28</v>
      </c>
      <c r="M135" s="4" t="s">
        <v>2083</v>
      </c>
      <c r="N135" s="4" t="s">
        <v>2676</v>
      </c>
      <c r="O135" s="4" t="s">
        <v>2519</v>
      </c>
      <c r="P135" s="4" t="s">
        <v>2622</v>
      </c>
      <c r="Q135" s="4" t="s">
        <v>2623</v>
      </c>
      <c r="R135" s="4" t="s">
        <v>2552</v>
      </c>
      <c r="S135" s="4" t="s">
        <v>2624</v>
      </c>
      <c r="T135" s="4" t="str">
        <f>HYPERLINK("http://slimages.macys.com/is/image/MCY/13987388 ")</f>
        <v xml:space="preserve">http://slimages.macys.com/is/image/MCY/13987388 </v>
      </c>
    </row>
    <row r="136" spans="1:20" ht="15" customHeight="1" x14ac:dyDescent="0.25">
      <c r="A136" s="4" t="s">
        <v>2489</v>
      </c>
      <c r="B136" s="2" t="s">
        <v>2487</v>
      </c>
      <c r="C136" s="2" t="s">
        <v>2488</v>
      </c>
      <c r="D136" s="5" t="s">
        <v>2490</v>
      </c>
      <c r="E136" s="4" t="s">
        <v>2491</v>
      </c>
      <c r="F136" s="6">
        <v>14278836</v>
      </c>
      <c r="G136" s="3">
        <v>14278836</v>
      </c>
      <c r="H136" s="7">
        <v>762120015691</v>
      </c>
      <c r="I136" s="8" t="s">
        <v>2317</v>
      </c>
      <c r="J136" s="4">
        <v>1</v>
      </c>
      <c r="K136" s="9">
        <v>20.99</v>
      </c>
      <c r="L136" s="9">
        <v>20.99</v>
      </c>
      <c r="M136" s="4" t="s">
        <v>2318</v>
      </c>
      <c r="N136" s="4" t="s">
        <v>2508</v>
      </c>
      <c r="O136" s="4" t="s">
        <v>2498</v>
      </c>
      <c r="P136" s="4" t="s">
        <v>2520</v>
      </c>
      <c r="Q136" s="4" t="s">
        <v>2521</v>
      </c>
      <c r="R136" s="4"/>
      <c r="S136" s="4"/>
      <c r="T136" s="4" t="str">
        <f>HYPERLINK("http://slimages.macys.com/is/image/MCY/20673001 ")</f>
        <v xml:space="preserve">http://slimages.macys.com/is/image/MCY/20673001 </v>
      </c>
    </row>
    <row r="137" spans="1:20" ht="15" customHeight="1" x14ac:dyDescent="0.25">
      <c r="A137" s="4" t="s">
        <v>2489</v>
      </c>
      <c r="B137" s="2" t="s">
        <v>2487</v>
      </c>
      <c r="C137" s="2" t="s">
        <v>2488</v>
      </c>
      <c r="D137" s="5" t="s">
        <v>2490</v>
      </c>
      <c r="E137" s="4" t="s">
        <v>2491</v>
      </c>
      <c r="F137" s="6">
        <v>14278836</v>
      </c>
      <c r="G137" s="3">
        <v>14278836</v>
      </c>
      <c r="H137" s="7">
        <v>732999977789</v>
      </c>
      <c r="I137" s="8" t="s">
        <v>2319</v>
      </c>
      <c r="J137" s="4">
        <v>1</v>
      </c>
      <c r="K137" s="9">
        <v>5.99</v>
      </c>
      <c r="L137" s="9">
        <v>5.99</v>
      </c>
      <c r="M137" s="4" t="s">
        <v>2749</v>
      </c>
      <c r="N137" s="4" t="s">
        <v>2514</v>
      </c>
      <c r="O137" s="4" t="s">
        <v>2653</v>
      </c>
      <c r="P137" s="4" t="s">
        <v>2602</v>
      </c>
      <c r="Q137" s="4" t="s">
        <v>2528</v>
      </c>
      <c r="R137" s="4"/>
      <c r="S137" s="4"/>
      <c r="T137" s="4" t="str">
        <f>HYPERLINK("http://slimages.macys.com/is/image/MCY/18024474 ")</f>
        <v xml:space="preserve">http://slimages.macys.com/is/image/MCY/18024474 </v>
      </c>
    </row>
    <row r="138" spans="1:20" ht="15" customHeight="1" x14ac:dyDescent="0.25">
      <c r="A138" s="4" t="s">
        <v>2489</v>
      </c>
      <c r="B138" s="2" t="s">
        <v>2487</v>
      </c>
      <c r="C138" s="2" t="s">
        <v>2488</v>
      </c>
      <c r="D138" s="5" t="s">
        <v>2490</v>
      </c>
      <c r="E138" s="4" t="s">
        <v>2491</v>
      </c>
      <c r="F138" s="6">
        <v>14278836</v>
      </c>
      <c r="G138" s="3">
        <v>14278836</v>
      </c>
      <c r="H138" s="7">
        <v>733004919305</v>
      </c>
      <c r="I138" s="8" t="s">
        <v>3061</v>
      </c>
      <c r="J138" s="4">
        <v>1</v>
      </c>
      <c r="K138" s="9">
        <v>6.99</v>
      </c>
      <c r="L138" s="9">
        <v>6.99</v>
      </c>
      <c r="M138" s="4" t="s">
        <v>2785</v>
      </c>
      <c r="N138" s="4" t="s">
        <v>2505</v>
      </c>
      <c r="O138" s="4" t="s">
        <v>2559</v>
      </c>
      <c r="P138" s="4" t="s">
        <v>2503</v>
      </c>
      <c r="Q138" s="4" t="s">
        <v>2504</v>
      </c>
      <c r="R138" s="4"/>
      <c r="S138" s="4"/>
      <c r="T138" s="4" t="str">
        <f>HYPERLINK("http://slimages.macys.com/is/image/MCY/19977732 ")</f>
        <v xml:space="preserve">http://slimages.macys.com/is/image/MCY/19977732 </v>
      </c>
    </row>
    <row r="139" spans="1:20" ht="15" customHeight="1" x14ac:dyDescent="0.25">
      <c r="A139" s="4" t="s">
        <v>2489</v>
      </c>
      <c r="B139" s="2" t="s">
        <v>2487</v>
      </c>
      <c r="C139" s="2" t="s">
        <v>2488</v>
      </c>
      <c r="D139" s="5" t="s">
        <v>2490</v>
      </c>
      <c r="E139" s="4" t="s">
        <v>2491</v>
      </c>
      <c r="F139" s="6">
        <v>14278836</v>
      </c>
      <c r="G139" s="3">
        <v>14278836</v>
      </c>
      <c r="H139" s="7">
        <v>652874284255</v>
      </c>
      <c r="I139" s="8" t="s">
        <v>2320</v>
      </c>
      <c r="J139" s="4">
        <v>1</v>
      </c>
      <c r="K139" s="9">
        <v>34.99</v>
      </c>
      <c r="L139" s="9">
        <v>34.99</v>
      </c>
      <c r="M139" s="4" t="s">
        <v>2321</v>
      </c>
      <c r="N139" s="4"/>
      <c r="O139" s="4"/>
      <c r="P139" s="4" t="s">
        <v>2634</v>
      </c>
      <c r="Q139" s="4" t="s">
        <v>2537</v>
      </c>
      <c r="R139" s="4"/>
      <c r="S139" s="4"/>
      <c r="T139" s="4" t="str">
        <f>HYPERLINK("http://slimages.macys.com/is/image/MCY/20091561 ")</f>
        <v xml:space="preserve">http://slimages.macys.com/is/image/MCY/20091561 </v>
      </c>
    </row>
    <row r="140" spans="1:20" ht="15" customHeight="1" x14ac:dyDescent="0.25">
      <c r="A140" s="4" t="s">
        <v>2489</v>
      </c>
      <c r="B140" s="2" t="s">
        <v>2487</v>
      </c>
      <c r="C140" s="2" t="s">
        <v>2488</v>
      </c>
      <c r="D140" s="5" t="s">
        <v>2490</v>
      </c>
      <c r="E140" s="4" t="s">
        <v>2491</v>
      </c>
      <c r="F140" s="6">
        <v>14278836</v>
      </c>
      <c r="G140" s="3">
        <v>14278836</v>
      </c>
      <c r="H140" s="7">
        <v>195883343242</v>
      </c>
      <c r="I140" s="8" t="s">
        <v>2322</v>
      </c>
      <c r="J140" s="4">
        <v>1</v>
      </c>
      <c r="K140" s="9">
        <v>26.99</v>
      </c>
      <c r="L140" s="9">
        <v>26.99</v>
      </c>
      <c r="M140" s="4" t="s">
        <v>2323</v>
      </c>
      <c r="N140" s="4" t="s">
        <v>2766</v>
      </c>
      <c r="O140" s="4" t="s">
        <v>2532</v>
      </c>
      <c r="P140" s="4" t="s">
        <v>2556</v>
      </c>
      <c r="Q140" s="4" t="s">
        <v>2527</v>
      </c>
      <c r="R140" s="4"/>
      <c r="S140" s="4"/>
      <c r="T140" s="4" t="str">
        <f>HYPERLINK("http://slimages.macys.com/is/image/MCY/20200533 ")</f>
        <v xml:space="preserve">http://slimages.macys.com/is/image/MCY/20200533 </v>
      </c>
    </row>
    <row r="141" spans="1:20" ht="15" customHeight="1" x14ac:dyDescent="0.25">
      <c r="A141" s="4" t="s">
        <v>2489</v>
      </c>
      <c r="B141" s="2" t="s">
        <v>2487</v>
      </c>
      <c r="C141" s="2" t="s">
        <v>2488</v>
      </c>
      <c r="D141" s="5" t="s">
        <v>2490</v>
      </c>
      <c r="E141" s="4" t="s">
        <v>2491</v>
      </c>
      <c r="F141" s="6">
        <v>14278836</v>
      </c>
      <c r="G141" s="3">
        <v>14278836</v>
      </c>
      <c r="H141" s="7">
        <v>194135484382</v>
      </c>
      <c r="I141" s="8" t="s">
        <v>2324</v>
      </c>
      <c r="J141" s="4">
        <v>1</v>
      </c>
      <c r="K141" s="9">
        <v>9.18</v>
      </c>
      <c r="L141" s="9">
        <v>9.18</v>
      </c>
      <c r="M141" s="4" t="s">
        <v>2325</v>
      </c>
      <c r="N141" s="4"/>
      <c r="O141" s="4" t="s">
        <v>2587</v>
      </c>
      <c r="P141" s="4" t="s">
        <v>2657</v>
      </c>
      <c r="Q141" s="4" t="s">
        <v>2658</v>
      </c>
      <c r="R141" s="4"/>
      <c r="S141" s="4"/>
      <c r="T141" s="4" t="str">
        <f>HYPERLINK("http://slimages.macys.com/is/image/MCY/19944568 ")</f>
        <v xml:space="preserve">http://slimages.macys.com/is/image/MCY/19944568 </v>
      </c>
    </row>
    <row r="142" spans="1:20" ht="15" customHeight="1" x14ac:dyDescent="0.25">
      <c r="A142" s="4" t="s">
        <v>2489</v>
      </c>
      <c r="B142" s="2" t="s">
        <v>2487</v>
      </c>
      <c r="C142" s="2" t="s">
        <v>2488</v>
      </c>
      <c r="D142" s="5" t="s">
        <v>2490</v>
      </c>
      <c r="E142" s="4" t="s">
        <v>2491</v>
      </c>
      <c r="F142" s="6">
        <v>14278836</v>
      </c>
      <c r="G142" s="3">
        <v>14278836</v>
      </c>
      <c r="H142" s="7">
        <v>193712347034</v>
      </c>
      <c r="I142" s="8" t="s">
        <v>2326</v>
      </c>
      <c r="J142" s="4">
        <v>1</v>
      </c>
      <c r="K142" s="9">
        <v>30.99</v>
      </c>
      <c r="L142" s="9">
        <v>30.99</v>
      </c>
      <c r="M142" s="4" t="s">
        <v>2159</v>
      </c>
      <c r="N142" s="4" t="s">
        <v>2518</v>
      </c>
      <c r="O142" s="4" t="s">
        <v>2327</v>
      </c>
      <c r="P142" s="4" t="s">
        <v>2536</v>
      </c>
      <c r="Q142" s="4" t="s">
        <v>2869</v>
      </c>
      <c r="R142" s="4"/>
      <c r="S142" s="4"/>
      <c r="T142" s="4" t="str">
        <f>HYPERLINK("http://slimages.macys.com/is/image/MCY/20007094 ")</f>
        <v xml:space="preserve">http://slimages.macys.com/is/image/MCY/20007094 </v>
      </c>
    </row>
    <row r="143" spans="1:20" ht="15" customHeight="1" x14ac:dyDescent="0.25">
      <c r="A143" s="4" t="s">
        <v>2489</v>
      </c>
      <c r="B143" s="2" t="s">
        <v>2487</v>
      </c>
      <c r="C143" s="2" t="s">
        <v>2488</v>
      </c>
      <c r="D143" s="5" t="s">
        <v>2490</v>
      </c>
      <c r="E143" s="4" t="s">
        <v>2491</v>
      </c>
      <c r="F143" s="6">
        <v>14278836</v>
      </c>
      <c r="G143" s="3">
        <v>14278836</v>
      </c>
      <c r="H143" s="7">
        <v>193712347041</v>
      </c>
      <c r="I143" s="8" t="s">
        <v>2328</v>
      </c>
      <c r="J143" s="4">
        <v>1</v>
      </c>
      <c r="K143" s="9">
        <v>30.99</v>
      </c>
      <c r="L143" s="9">
        <v>30.99</v>
      </c>
      <c r="M143" s="4" t="s">
        <v>2159</v>
      </c>
      <c r="N143" s="4" t="s">
        <v>2518</v>
      </c>
      <c r="O143" s="4" t="s">
        <v>2868</v>
      </c>
      <c r="P143" s="4" t="s">
        <v>2536</v>
      </c>
      <c r="Q143" s="4" t="s">
        <v>2869</v>
      </c>
      <c r="R143" s="4"/>
      <c r="S143" s="4"/>
      <c r="T143" s="4" t="str">
        <f>HYPERLINK("http://slimages.macys.com/is/image/MCY/20007094 ")</f>
        <v xml:space="preserve">http://slimages.macys.com/is/image/MCY/20007094 </v>
      </c>
    </row>
    <row r="144" spans="1:20" ht="15" customHeight="1" x14ac:dyDescent="0.25">
      <c r="A144" s="4" t="s">
        <v>2489</v>
      </c>
      <c r="B144" s="2" t="s">
        <v>2487</v>
      </c>
      <c r="C144" s="2" t="s">
        <v>2488</v>
      </c>
      <c r="D144" s="5" t="s">
        <v>2490</v>
      </c>
      <c r="E144" s="4" t="s">
        <v>2491</v>
      </c>
      <c r="F144" s="6">
        <v>14278836</v>
      </c>
      <c r="G144" s="3">
        <v>14278836</v>
      </c>
      <c r="H144" s="7">
        <v>194133546297</v>
      </c>
      <c r="I144" s="8" t="s">
        <v>2329</v>
      </c>
      <c r="J144" s="4">
        <v>1</v>
      </c>
      <c r="K144" s="9">
        <v>11.11</v>
      </c>
      <c r="L144" s="9">
        <v>11.11</v>
      </c>
      <c r="M144" s="4" t="s">
        <v>2330</v>
      </c>
      <c r="N144" s="4"/>
      <c r="O144" s="4" t="s">
        <v>2587</v>
      </c>
      <c r="P144" s="4" t="s">
        <v>2657</v>
      </c>
      <c r="Q144" s="4" t="s">
        <v>2716</v>
      </c>
      <c r="R144" s="4"/>
      <c r="S144" s="4"/>
      <c r="T144" s="4" t="str">
        <f>HYPERLINK("http://slimages.macys.com/is/image/MCY/20243211 ")</f>
        <v xml:space="preserve">http://slimages.macys.com/is/image/MCY/20243211 </v>
      </c>
    </row>
    <row r="145" spans="1:20" ht="15" customHeight="1" x14ac:dyDescent="0.25">
      <c r="A145" s="4" t="s">
        <v>2489</v>
      </c>
      <c r="B145" s="2" t="s">
        <v>2487</v>
      </c>
      <c r="C145" s="2" t="s">
        <v>2488</v>
      </c>
      <c r="D145" s="5" t="s">
        <v>2490</v>
      </c>
      <c r="E145" s="4" t="s">
        <v>2491</v>
      </c>
      <c r="F145" s="6">
        <v>14278836</v>
      </c>
      <c r="G145" s="3">
        <v>14278836</v>
      </c>
      <c r="H145" s="7">
        <v>194135714786</v>
      </c>
      <c r="I145" s="8" t="s">
        <v>2331</v>
      </c>
      <c r="J145" s="4">
        <v>1</v>
      </c>
      <c r="K145" s="9">
        <v>22.52</v>
      </c>
      <c r="L145" s="9">
        <v>22.52</v>
      </c>
      <c r="M145" s="4" t="s">
        <v>2332</v>
      </c>
      <c r="N145" s="4" t="s">
        <v>2514</v>
      </c>
      <c r="O145" s="4" t="s">
        <v>2746</v>
      </c>
      <c r="P145" s="4" t="s">
        <v>2494</v>
      </c>
      <c r="Q145" s="4" t="s">
        <v>2495</v>
      </c>
      <c r="R145" s="4"/>
      <c r="S145" s="4"/>
      <c r="T145" s="4" t="str">
        <f>HYPERLINK("http://slimages.macys.com/is/image/MCY/19974182 ")</f>
        <v xml:space="preserve">http://slimages.macys.com/is/image/MCY/19974182 </v>
      </c>
    </row>
    <row r="146" spans="1:20" ht="15" customHeight="1" x14ac:dyDescent="0.25">
      <c r="A146" s="4" t="s">
        <v>2489</v>
      </c>
      <c r="B146" s="2" t="s">
        <v>2487</v>
      </c>
      <c r="C146" s="2" t="s">
        <v>2488</v>
      </c>
      <c r="D146" s="5" t="s">
        <v>2490</v>
      </c>
      <c r="E146" s="4" t="s">
        <v>2491</v>
      </c>
      <c r="F146" s="6">
        <v>14278836</v>
      </c>
      <c r="G146" s="3">
        <v>14278836</v>
      </c>
      <c r="H146" s="7">
        <v>195238038151</v>
      </c>
      <c r="I146" s="8" t="s">
        <v>3331</v>
      </c>
      <c r="J146" s="4">
        <v>1</v>
      </c>
      <c r="K146" s="9">
        <v>28.99</v>
      </c>
      <c r="L146" s="9">
        <v>28.99</v>
      </c>
      <c r="M146" s="4" t="s">
        <v>2884</v>
      </c>
      <c r="N146" s="4" t="s">
        <v>2676</v>
      </c>
      <c r="O146" s="4" t="s">
        <v>2498</v>
      </c>
      <c r="P146" s="4" t="s">
        <v>2619</v>
      </c>
      <c r="Q146" s="4" t="s">
        <v>2568</v>
      </c>
      <c r="R146" s="4"/>
      <c r="S146" s="4"/>
      <c r="T146" s="4" t="str">
        <f>HYPERLINK("http://slimages.macys.com/is/image/MCY/20314210 ")</f>
        <v xml:space="preserve">http://slimages.macys.com/is/image/MCY/20314210 </v>
      </c>
    </row>
    <row r="147" spans="1:20" ht="15" customHeight="1" x14ac:dyDescent="0.25">
      <c r="A147" s="4" t="s">
        <v>2489</v>
      </c>
      <c r="B147" s="2" t="s">
        <v>2487</v>
      </c>
      <c r="C147" s="2" t="s">
        <v>2488</v>
      </c>
      <c r="D147" s="5" t="s">
        <v>2490</v>
      </c>
      <c r="E147" s="4" t="s">
        <v>2491</v>
      </c>
      <c r="F147" s="6">
        <v>14278836</v>
      </c>
      <c r="G147" s="3">
        <v>14278836</v>
      </c>
      <c r="H147" s="7">
        <v>195238038144</v>
      </c>
      <c r="I147" s="8" t="s">
        <v>2333</v>
      </c>
      <c r="J147" s="4">
        <v>1</v>
      </c>
      <c r="K147" s="9">
        <v>28.99</v>
      </c>
      <c r="L147" s="9">
        <v>28.99</v>
      </c>
      <c r="M147" s="4" t="s">
        <v>2884</v>
      </c>
      <c r="N147" s="4" t="s">
        <v>2676</v>
      </c>
      <c r="O147" s="4" t="s">
        <v>2555</v>
      </c>
      <c r="P147" s="4" t="s">
        <v>2619</v>
      </c>
      <c r="Q147" s="4" t="s">
        <v>2568</v>
      </c>
      <c r="R147" s="4"/>
      <c r="S147" s="4"/>
      <c r="T147" s="4" t="str">
        <f>HYPERLINK("http://slimages.macys.com/is/image/MCY/19219363 ")</f>
        <v xml:space="preserve">http://slimages.macys.com/is/image/MCY/19219363 </v>
      </c>
    </row>
    <row r="148" spans="1:20" ht="15" customHeight="1" x14ac:dyDescent="0.25">
      <c r="A148" s="4" t="s">
        <v>2489</v>
      </c>
      <c r="B148" s="2" t="s">
        <v>2487</v>
      </c>
      <c r="C148" s="2" t="s">
        <v>2488</v>
      </c>
      <c r="D148" s="5" t="s">
        <v>2490</v>
      </c>
      <c r="E148" s="4" t="s">
        <v>2491</v>
      </c>
      <c r="F148" s="6">
        <v>14278836</v>
      </c>
      <c r="G148" s="3">
        <v>14278836</v>
      </c>
      <c r="H148" s="7">
        <v>733004553233</v>
      </c>
      <c r="I148" s="8" t="s">
        <v>2334</v>
      </c>
      <c r="J148" s="4">
        <v>1</v>
      </c>
      <c r="K148" s="9">
        <v>21.99</v>
      </c>
      <c r="L148" s="9">
        <v>21.99</v>
      </c>
      <c r="M148" s="4" t="s">
        <v>2228</v>
      </c>
      <c r="N148" s="4" t="s">
        <v>2497</v>
      </c>
      <c r="O148" s="4" t="s">
        <v>2498</v>
      </c>
      <c r="P148" s="4" t="s">
        <v>2515</v>
      </c>
      <c r="Q148" s="4" t="s">
        <v>2672</v>
      </c>
      <c r="R148" s="4"/>
      <c r="S148" s="4"/>
      <c r="T148" s="4" t="str">
        <f>HYPERLINK("http://slimages.macys.com/is/image/MCY/20531655 ")</f>
        <v xml:space="preserve">http://slimages.macys.com/is/image/MCY/20531655 </v>
      </c>
    </row>
    <row r="149" spans="1:20" ht="15" customHeight="1" x14ac:dyDescent="0.25">
      <c r="A149" s="4" t="s">
        <v>2489</v>
      </c>
      <c r="B149" s="2" t="s">
        <v>2487</v>
      </c>
      <c r="C149" s="2" t="s">
        <v>2488</v>
      </c>
      <c r="D149" s="5" t="s">
        <v>2490</v>
      </c>
      <c r="E149" s="4" t="s">
        <v>2491</v>
      </c>
      <c r="F149" s="6">
        <v>14278836</v>
      </c>
      <c r="G149" s="3">
        <v>14278836</v>
      </c>
      <c r="H149" s="7">
        <v>194257535627</v>
      </c>
      <c r="I149" s="8" t="s">
        <v>3047</v>
      </c>
      <c r="J149" s="4">
        <v>1</v>
      </c>
      <c r="K149" s="9">
        <v>14.99</v>
      </c>
      <c r="L149" s="9">
        <v>14.99</v>
      </c>
      <c r="M149" s="4" t="s">
        <v>3048</v>
      </c>
      <c r="N149" s="4" t="s">
        <v>2497</v>
      </c>
      <c r="O149" s="4" t="s">
        <v>2653</v>
      </c>
      <c r="P149" s="4" t="s">
        <v>2619</v>
      </c>
      <c r="Q149" s="4" t="s">
        <v>2654</v>
      </c>
      <c r="R149" s="4"/>
      <c r="S149" s="4"/>
      <c r="T149" s="4" t="str">
        <f>HYPERLINK("http://slimages.macys.com/is/image/MCY/19902177 ")</f>
        <v xml:space="preserve">http://slimages.macys.com/is/image/MCY/19902177 </v>
      </c>
    </row>
    <row r="150" spans="1:20" ht="15" customHeight="1" x14ac:dyDescent="0.25">
      <c r="A150" s="4" t="s">
        <v>2489</v>
      </c>
      <c r="B150" s="2" t="s">
        <v>2487</v>
      </c>
      <c r="C150" s="2" t="s">
        <v>2488</v>
      </c>
      <c r="D150" s="5" t="s">
        <v>2490</v>
      </c>
      <c r="E150" s="4" t="s">
        <v>2491</v>
      </c>
      <c r="F150" s="6">
        <v>14278836</v>
      </c>
      <c r="G150" s="3">
        <v>14278836</v>
      </c>
      <c r="H150" s="7">
        <v>733004746260</v>
      </c>
      <c r="I150" s="8" t="s">
        <v>2335</v>
      </c>
      <c r="J150" s="4">
        <v>1</v>
      </c>
      <c r="K150" s="9">
        <v>6.99</v>
      </c>
      <c r="L150" s="9">
        <v>6.99</v>
      </c>
      <c r="M150" s="4" t="s">
        <v>2054</v>
      </c>
      <c r="N150" s="4" t="s">
        <v>2531</v>
      </c>
      <c r="O150" s="4" t="s">
        <v>2493</v>
      </c>
      <c r="P150" s="4" t="s">
        <v>2503</v>
      </c>
      <c r="Q150" s="4" t="s">
        <v>2504</v>
      </c>
      <c r="R150" s="4"/>
      <c r="S150" s="4"/>
      <c r="T150" s="4" t="str">
        <f>HYPERLINK("http://slimages.macys.com/is/image/MCY/19977413 ")</f>
        <v xml:space="preserve">http://slimages.macys.com/is/image/MCY/19977413 </v>
      </c>
    </row>
    <row r="151" spans="1:20" ht="15" customHeight="1" x14ac:dyDescent="0.25">
      <c r="A151" s="4" t="s">
        <v>2489</v>
      </c>
      <c r="B151" s="2" t="s">
        <v>2487</v>
      </c>
      <c r="C151" s="2" t="s">
        <v>2488</v>
      </c>
      <c r="D151" s="5" t="s">
        <v>2490</v>
      </c>
      <c r="E151" s="4" t="s">
        <v>2491</v>
      </c>
      <c r="F151" s="6">
        <v>14278836</v>
      </c>
      <c r="G151" s="3">
        <v>14278836</v>
      </c>
      <c r="H151" s="7">
        <v>762120022958</v>
      </c>
      <c r="I151" s="8" t="s">
        <v>2336</v>
      </c>
      <c r="J151" s="4">
        <v>3</v>
      </c>
      <c r="K151" s="9">
        <v>7.99</v>
      </c>
      <c r="L151" s="9">
        <v>23.97</v>
      </c>
      <c r="M151" s="4" t="s">
        <v>2337</v>
      </c>
      <c r="N151" s="4" t="s">
        <v>2518</v>
      </c>
      <c r="O151" s="4" t="s">
        <v>2628</v>
      </c>
      <c r="P151" s="4" t="s">
        <v>2503</v>
      </c>
      <c r="Q151" s="4" t="s">
        <v>2504</v>
      </c>
      <c r="R151" s="4"/>
      <c r="S151" s="4"/>
      <c r="T151" s="4" t="str">
        <f>HYPERLINK("http://slimages.macys.com/is/image/MCY/19977730 ")</f>
        <v xml:space="preserve">http://slimages.macys.com/is/image/MCY/19977730 </v>
      </c>
    </row>
    <row r="152" spans="1:20" ht="15" customHeight="1" x14ac:dyDescent="0.25">
      <c r="A152" s="4" t="s">
        <v>2489</v>
      </c>
      <c r="B152" s="2" t="s">
        <v>2487</v>
      </c>
      <c r="C152" s="2" t="s">
        <v>2488</v>
      </c>
      <c r="D152" s="5" t="s">
        <v>2490</v>
      </c>
      <c r="E152" s="4" t="s">
        <v>2491</v>
      </c>
      <c r="F152" s="6">
        <v>14278836</v>
      </c>
      <c r="G152" s="3">
        <v>14278836</v>
      </c>
      <c r="H152" s="7">
        <v>733004746277</v>
      </c>
      <c r="I152" s="8" t="s">
        <v>2338</v>
      </c>
      <c r="J152" s="4">
        <v>1</v>
      </c>
      <c r="K152" s="9">
        <v>6.99</v>
      </c>
      <c r="L152" s="9">
        <v>6.99</v>
      </c>
      <c r="M152" s="4" t="s">
        <v>2054</v>
      </c>
      <c r="N152" s="4" t="s">
        <v>2531</v>
      </c>
      <c r="O152" s="4" t="s">
        <v>2502</v>
      </c>
      <c r="P152" s="4" t="s">
        <v>2503</v>
      </c>
      <c r="Q152" s="4" t="s">
        <v>2504</v>
      </c>
      <c r="R152" s="4"/>
      <c r="S152" s="4"/>
      <c r="T152" s="4" t="str">
        <f>HYPERLINK("http://slimages.macys.com/is/image/MCY/19977413 ")</f>
        <v xml:space="preserve">http://slimages.macys.com/is/image/MCY/19977413 </v>
      </c>
    </row>
    <row r="153" spans="1:20" ht="15" customHeight="1" x14ac:dyDescent="0.25">
      <c r="A153" s="4" t="s">
        <v>2489</v>
      </c>
      <c r="B153" s="2" t="s">
        <v>2487</v>
      </c>
      <c r="C153" s="2" t="s">
        <v>2488</v>
      </c>
      <c r="D153" s="5" t="s">
        <v>2490</v>
      </c>
      <c r="E153" s="4" t="s">
        <v>2491</v>
      </c>
      <c r="F153" s="6">
        <v>14278836</v>
      </c>
      <c r="G153" s="3">
        <v>14278836</v>
      </c>
      <c r="H153" s="7">
        <v>762120113038</v>
      </c>
      <c r="I153" s="8" t="s">
        <v>2120</v>
      </c>
      <c r="J153" s="4">
        <v>1</v>
      </c>
      <c r="K153" s="9">
        <v>6.99</v>
      </c>
      <c r="L153" s="9">
        <v>6.99</v>
      </c>
      <c r="M153" s="4" t="s">
        <v>3270</v>
      </c>
      <c r="N153" s="4" t="s">
        <v>2518</v>
      </c>
      <c r="O153" s="4" t="s">
        <v>2601</v>
      </c>
      <c r="P153" s="4" t="s">
        <v>2503</v>
      </c>
      <c r="Q153" s="4" t="s">
        <v>2504</v>
      </c>
      <c r="R153" s="4"/>
      <c r="S153" s="4"/>
      <c r="T153" s="4" t="str">
        <f>HYPERLINK("http://slimages.macys.com/is/image/MCY/19977414 ")</f>
        <v xml:space="preserve">http://slimages.macys.com/is/image/MCY/19977414 </v>
      </c>
    </row>
    <row r="154" spans="1:20" ht="15" customHeight="1" x14ac:dyDescent="0.25">
      <c r="A154" s="4" t="s">
        <v>2489</v>
      </c>
      <c r="B154" s="2" t="s">
        <v>2487</v>
      </c>
      <c r="C154" s="2" t="s">
        <v>2488</v>
      </c>
      <c r="D154" s="5" t="s">
        <v>2490</v>
      </c>
      <c r="E154" s="4" t="s">
        <v>2491</v>
      </c>
      <c r="F154" s="6">
        <v>14278836</v>
      </c>
      <c r="G154" s="3">
        <v>14278836</v>
      </c>
      <c r="H154" s="7">
        <v>733001050674</v>
      </c>
      <c r="I154" s="8" t="s">
        <v>2673</v>
      </c>
      <c r="J154" s="4">
        <v>1</v>
      </c>
      <c r="K154" s="9">
        <v>8.99</v>
      </c>
      <c r="L154" s="9">
        <v>8.99</v>
      </c>
      <c r="M154" s="4" t="s">
        <v>2674</v>
      </c>
      <c r="N154" s="4" t="s">
        <v>2501</v>
      </c>
      <c r="O154" s="4" t="s">
        <v>2566</v>
      </c>
      <c r="P154" s="4" t="s">
        <v>2503</v>
      </c>
      <c r="Q154" s="4" t="s">
        <v>2504</v>
      </c>
      <c r="R154" s="4"/>
      <c r="S154" s="4"/>
      <c r="T154" s="4" t="str">
        <f>HYPERLINK("http://slimages.macys.com/is/image/MCY/17586312 ")</f>
        <v xml:space="preserve">http://slimages.macys.com/is/image/MCY/17586312 </v>
      </c>
    </row>
    <row r="155" spans="1:20" ht="15" customHeight="1" x14ac:dyDescent="0.25">
      <c r="A155" s="4" t="s">
        <v>2489</v>
      </c>
      <c r="B155" s="2" t="s">
        <v>2487</v>
      </c>
      <c r="C155" s="2" t="s">
        <v>2488</v>
      </c>
      <c r="D155" s="5" t="s">
        <v>2490</v>
      </c>
      <c r="E155" s="4" t="s">
        <v>2491</v>
      </c>
      <c r="F155" s="6">
        <v>14278836</v>
      </c>
      <c r="G155" s="3">
        <v>14278836</v>
      </c>
      <c r="H155" s="7">
        <v>733004884412</v>
      </c>
      <c r="I155" s="8" t="s">
        <v>2027</v>
      </c>
      <c r="J155" s="4">
        <v>1</v>
      </c>
      <c r="K155" s="9">
        <v>6.99</v>
      </c>
      <c r="L155" s="9">
        <v>6.99</v>
      </c>
      <c r="M155" s="4" t="s">
        <v>2026</v>
      </c>
      <c r="N155" s="4" t="s">
        <v>2638</v>
      </c>
      <c r="O155" s="4"/>
      <c r="P155" s="4" t="s">
        <v>2503</v>
      </c>
      <c r="Q155" s="4" t="s">
        <v>2504</v>
      </c>
      <c r="R155" s="4"/>
      <c r="S155" s="4"/>
      <c r="T155" s="4" t="str">
        <f>HYPERLINK("http://slimages.macys.com/is/image/MCY/1041673 ")</f>
        <v xml:space="preserve">http://slimages.macys.com/is/image/MCY/1041673 </v>
      </c>
    </row>
    <row r="156" spans="1:20" ht="15" customHeight="1" x14ac:dyDescent="0.25">
      <c r="A156" s="4" t="s">
        <v>2489</v>
      </c>
      <c r="B156" s="2" t="s">
        <v>2487</v>
      </c>
      <c r="C156" s="2" t="s">
        <v>2488</v>
      </c>
      <c r="D156" s="5" t="s">
        <v>2490</v>
      </c>
      <c r="E156" s="4" t="s">
        <v>2491</v>
      </c>
      <c r="F156" s="6">
        <v>14278836</v>
      </c>
      <c r="G156" s="3">
        <v>14278836</v>
      </c>
      <c r="H156" s="7">
        <v>733001487180</v>
      </c>
      <c r="I156" s="8" t="s">
        <v>2339</v>
      </c>
      <c r="J156" s="4">
        <v>2</v>
      </c>
      <c r="K156" s="9">
        <v>6.99</v>
      </c>
      <c r="L156" s="9">
        <v>13.98</v>
      </c>
      <c r="M156" s="4" t="s">
        <v>2238</v>
      </c>
      <c r="N156" s="4" t="s">
        <v>2600</v>
      </c>
      <c r="O156" s="4"/>
      <c r="P156" s="4" t="s">
        <v>2503</v>
      </c>
      <c r="Q156" s="4" t="s">
        <v>2504</v>
      </c>
      <c r="R156" s="4"/>
      <c r="S156" s="4"/>
      <c r="T156" s="4" t="str">
        <f>HYPERLINK("http://slimages.macys.com/is/image/MCY/17780603 ")</f>
        <v xml:space="preserve">http://slimages.macys.com/is/image/MCY/17780603 </v>
      </c>
    </row>
    <row r="157" spans="1:20" ht="15" customHeight="1" x14ac:dyDescent="0.25">
      <c r="A157" s="4" t="s">
        <v>2489</v>
      </c>
      <c r="B157" s="2" t="s">
        <v>2487</v>
      </c>
      <c r="C157" s="2" t="s">
        <v>2488</v>
      </c>
      <c r="D157" s="5" t="s">
        <v>2490</v>
      </c>
      <c r="E157" s="4" t="s">
        <v>2491</v>
      </c>
      <c r="F157" s="6">
        <v>14278836</v>
      </c>
      <c r="G157" s="3">
        <v>14278836</v>
      </c>
      <c r="H157" s="7">
        <v>733004745812</v>
      </c>
      <c r="I157" s="8" t="s">
        <v>2851</v>
      </c>
      <c r="J157" s="4">
        <v>1</v>
      </c>
      <c r="K157" s="9">
        <v>6.99</v>
      </c>
      <c r="L157" s="9">
        <v>6.99</v>
      </c>
      <c r="M157" s="4" t="s">
        <v>2852</v>
      </c>
      <c r="N157" s="4" t="s">
        <v>2565</v>
      </c>
      <c r="O157" s="4" t="s">
        <v>2502</v>
      </c>
      <c r="P157" s="4" t="s">
        <v>2503</v>
      </c>
      <c r="Q157" s="4" t="s">
        <v>2504</v>
      </c>
      <c r="R157" s="4"/>
      <c r="S157" s="4"/>
      <c r="T157" s="4" t="str">
        <f>HYPERLINK("http://slimages.macys.com/is/image/MCY/19977364 ")</f>
        <v xml:space="preserve">http://slimages.macys.com/is/image/MCY/19977364 </v>
      </c>
    </row>
    <row r="158" spans="1:20" ht="15" customHeight="1" x14ac:dyDescent="0.25">
      <c r="A158" s="4" t="s">
        <v>2489</v>
      </c>
      <c r="B158" s="2" t="s">
        <v>2487</v>
      </c>
      <c r="C158" s="2" t="s">
        <v>2488</v>
      </c>
      <c r="D158" s="5" t="s">
        <v>2490</v>
      </c>
      <c r="E158" s="4" t="s">
        <v>2491</v>
      </c>
      <c r="F158" s="6">
        <v>14278836</v>
      </c>
      <c r="G158" s="3">
        <v>14278836</v>
      </c>
      <c r="H158" s="7">
        <v>733004746208</v>
      </c>
      <c r="I158" s="8" t="s">
        <v>3244</v>
      </c>
      <c r="J158" s="4">
        <v>1</v>
      </c>
      <c r="K158" s="9">
        <v>6.99</v>
      </c>
      <c r="L158" s="9">
        <v>6.99</v>
      </c>
      <c r="M158" s="4" t="s">
        <v>2885</v>
      </c>
      <c r="N158" s="4" t="s">
        <v>2505</v>
      </c>
      <c r="O158" s="4" t="s">
        <v>2566</v>
      </c>
      <c r="P158" s="4" t="s">
        <v>2503</v>
      </c>
      <c r="Q158" s="4" t="s">
        <v>2504</v>
      </c>
      <c r="R158" s="4"/>
      <c r="S158" s="4"/>
      <c r="T158" s="4" t="str">
        <f>HYPERLINK("http://slimages.macys.com/is/image/MCY/19977855 ")</f>
        <v xml:space="preserve">http://slimages.macys.com/is/image/MCY/19977855 </v>
      </c>
    </row>
    <row r="159" spans="1:20" ht="15" customHeight="1" x14ac:dyDescent="0.25">
      <c r="A159" s="4" t="s">
        <v>2489</v>
      </c>
      <c r="B159" s="2" t="s">
        <v>2487</v>
      </c>
      <c r="C159" s="2" t="s">
        <v>2488</v>
      </c>
      <c r="D159" s="5" t="s">
        <v>2490</v>
      </c>
      <c r="E159" s="4" t="s">
        <v>2491</v>
      </c>
      <c r="F159" s="6">
        <v>14278836</v>
      </c>
      <c r="G159" s="3">
        <v>14278836</v>
      </c>
      <c r="H159" s="7">
        <v>733004748424</v>
      </c>
      <c r="I159" s="8" t="s">
        <v>2340</v>
      </c>
      <c r="J159" s="4">
        <v>1</v>
      </c>
      <c r="K159" s="9">
        <v>7.99</v>
      </c>
      <c r="L159" s="9">
        <v>7.99</v>
      </c>
      <c r="M159" s="4" t="s">
        <v>2341</v>
      </c>
      <c r="N159" s="4" t="s">
        <v>2565</v>
      </c>
      <c r="O159" s="4" t="s">
        <v>2650</v>
      </c>
      <c r="P159" s="4" t="s">
        <v>2503</v>
      </c>
      <c r="Q159" s="4" t="s">
        <v>2504</v>
      </c>
      <c r="R159" s="4"/>
      <c r="S159" s="4"/>
      <c r="T159" s="4" t="str">
        <f>HYPERLINK("http://slimages.macys.com/is/image/MCY/19977364 ")</f>
        <v xml:space="preserve">http://slimages.macys.com/is/image/MCY/19977364 </v>
      </c>
    </row>
    <row r="160" spans="1:20" ht="15" customHeight="1" x14ac:dyDescent="0.25">
      <c r="A160" s="4" t="s">
        <v>2489</v>
      </c>
      <c r="B160" s="2" t="s">
        <v>2487</v>
      </c>
      <c r="C160" s="2" t="s">
        <v>2488</v>
      </c>
      <c r="D160" s="5" t="s">
        <v>2490</v>
      </c>
      <c r="E160" s="4" t="s">
        <v>2491</v>
      </c>
      <c r="F160" s="6">
        <v>14278836</v>
      </c>
      <c r="G160" s="3">
        <v>14278836</v>
      </c>
      <c r="H160" s="7">
        <v>733004745775</v>
      </c>
      <c r="I160" s="8" t="s">
        <v>1976</v>
      </c>
      <c r="J160" s="4">
        <v>1</v>
      </c>
      <c r="K160" s="9">
        <v>6.99</v>
      </c>
      <c r="L160" s="9">
        <v>6.99</v>
      </c>
      <c r="M160" s="4" t="s">
        <v>2852</v>
      </c>
      <c r="N160" s="4" t="s">
        <v>2565</v>
      </c>
      <c r="O160" s="4" t="s">
        <v>2559</v>
      </c>
      <c r="P160" s="4" t="s">
        <v>2503</v>
      </c>
      <c r="Q160" s="4" t="s">
        <v>2504</v>
      </c>
      <c r="R160" s="4"/>
      <c r="S160" s="4"/>
      <c r="T160" s="4" t="str">
        <f>HYPERLINK("http://slimages.macys.com/is/image/MCY/19977364 ")</f>
        <v xml:space="preserve">http://slimages.macys.com/is/image/MCY/19977364 </v>
      </c>
    </row>
    <row r="161" spans="1:20" ht="15" customHeight="1" x14ac:dyDescent="0.25">
      <c r="A161" s="4" t="s">
        <v>2489</v>
      </c>
      <c r="B161" s="2" t="s">
        <v>2487</v>
      </c>
      <c r="C161" s="2" t="s">
        <v>2488</v>
      </c>
      <c r="D161" s="5" t="s">
        <v>2490</v>
      </c>
      <c r="E161" s="4" t="s">
        <v>2491</v>
      </c>
      <c r="F161" s="6">
        <v>14278836</v>
      </c>
      <c r="G161" s="3">
        <v>14278836</v>
      </c>
      <c r="H161" s="7">
        <v>733003621179</v>
      </c>
      <c r="I161" s="8" t="s">
        <v>2342</v>
      </c>
      <c r="J161" s="4">
        <v>1</v>
      </c>
      <c r="K161" s="9">
        <v>7.99</v>
      </c>
      <c r="L161" s="9">
        <v>7.99</v>
      </c>
      <c r="M161" s="4" t="s">
        <v>2343</v>
      </c>
      <c r="N161" s="4" t="s">
        <v>2505</v>
      </c>
      <c r="O161" s="4" t="s">
        <v>2650</v>
      </c>
      <c r="P161" s="4" t="s">
        <v>2503</v>
      </c>
      <c r="Q161" s="4" t="s">
        <v>2504</v>
      </c>
      <c r="R161" s="4"/>
      <c r="S161" s="4"/>
      <c r="T161" s="4" t="str">
        <f>HYPERLINK("http://slimages.macys.com/is/image/MCY/876675 ")</f>
        <v xml:space="preserve">http://slimages.macys.com/is/image/MCY/876675 </v>
      </c>
    </row>
    <row r="162" spans="1:20" ht="15" customHeight="1" x14ac:dyDescent="0.25">
      <c r="A162" s="4" t="s">
        <v>2489</v>
      </c>
      <c r="B162" s="2" t="s">
        <v>2487</v>
      </c>
      <c r="C162" s="2" t="s">
        <v>2488</v>
      </c>
      <c r="D162" s="5" t="s">
        <v>2490</v>
      </c>
      <c r="E162" s="4" t="s">
        <v>2491</v>
      </c>
      <c r="F162" s="6">
        <v>14278836</v>
      </c>
      <c r="G162" s="3">
        <v>14278836</v>
      </c>
      <c r="H162" s="7">
        <v>194257539540</v>
      </c>
      <c r="I162" s="8" t="s">
        <v>2087</v>
      </c>
      <c r="J162" s="4">
        <v>1</v>
      </c>
      <c r="K162" s="9">
        <v>16.989999999999998</v>
      </c>
      <c r="L162" s="9">
        <v>16.989999999999998</v>
      </c>
      <c r="M162" s="4" t="s">
        <v>2840</v>
      </c>
      <c r="N162" s="4" t="s">
        <v>2614</v>
      </c>
      <c r="O162" s="4">
        <v>6</v>
      </c>
      <c r="P162" s="4" t="s">
        <v>2619</v>
      </c>
      <c r="Q162" s="4" t="s">
        <v>2654</v>
      </c>
      <c r="R162" s="4"/>
      <c r="S162" s="4"/>
      <c r="T162" s="4" t="str">
        <f>HYPERLINK("http://slimages.macys.com/is/image/MCY/19092045 ")</f>
        <v xml:space="preserve">http://slimages.macys.com/is/image/MCY/19092045 </v>
      </c>
    </row>
    <row r="163" spans="1:20" ht="15" customHeight="1" x14ac:dyDescent="0.25">
      <c r="A163" s="4" t="s">
        <v>2489</v>
      </c>
      <c r="B163" s="2" t="s">
        <v>2487</v>
      </c>
      <c r="C163" s="2" t="s">
        <v>2488</v>
      </c>
      <c r="D163" s="5" t="s">
        <v>2490</v>
      </c>
      <c r="E163" s="4" t="s">
        <v>2491</v>
      </c>
      <c r="F163" s="6">
        <v>14278836</v>
      </c>
      <c r="G163" s="3">
        <v>14278836</v>
      </c>
      <c r="H163" s="7">
        <v>733003643591</v>
      </c>
      <c r="I163" s="8" t="s">
        <v>3239</v>
      </c>
      <c r="J163" s="4">
        <v>2</v>
      </c>
      <c r="K163" s="9">
        <v>18.989999999999998</v>
      </c>
      <c r="L163" s="9">
        <v>37.979999999999997</v>
      </c>
      <c r="M163" s="4" t="s">
        <v>2984</v>
      </c>
      <c r="N163" s="4" t="s">
        <v>2567</v>
      </c>
      <c r="O163" s="4">
        <v>6</v>
      </c>
      <c r="P163" s="4" t="s">
        <v>2515</v>
      </c>
      <c r="Q163" s="4" t="s">
        <v>2972</v>
      </c>
      <c r="R163" s="4"/>
      <c r="S163" s="4"/>
      <c r="T163" s="4" t="str">
        <f>HYPERLINK("http://slimages.macys.com/is/image/MCY/20008203 ")</f>
        <v xml:space="preserve">http://slimages.macys.com/is/image/MCY/20008203 </v>
      </c>
    </row>
    <row r="164" spans="1:20" ht="15" customHeight="1" x14ac:dyDescent="0.25">
      <c r="A164" s="4" t="s">
        <v>2489</v>
      </c>
      <c r="B164" s="2" t="s">
        <v>2487</v>
      </c>
      <c r="C164" s="2" t="s">
        <v>2488</v>
      </c>
      <c r="D164" s="5" t="s">
        <v>2490</v>
      </c>
      <c r="E164" s="4" t="s">
        <v>2491</v>
      </c>
      <c r="F164" s="6">
        <v>14278836</v>
      </c>
      <c r="G164" s="3">
        <v>14278836</v>
      </c>
      <c r="H164" s="7">
        <v>194931206089</v>
      </c>
      <c r="I164" s="8" t="s">
        <v>2344</v>
      </c>
      <c r="J164" s="4">
        <v>6</v>
      </c>
      <c r="K164" s="9">
        <v>27.24</v>
      </c>
      <c r="L164" s="9">
        <v>163.44</v>
      </c>
      <c r="M164" s="4" t="s">
        <v>2761</v>
      </c>
      <c r="N164" s="4" t="s">
        <v>2762</v>
      </c>
      <c r="O164" s="4" t="s">
        <v>2688</v>
      </c>
      <c r="P164" s="4" t="s">
        <v>2655</v>
      </c>
      <c r="Q164" s="4" t="s">
        <v>2643</v>
      </c>
      <c r="R164" s="4"/>
      <c r="S164" s="4"/>
      <c r="T164" s="4" t="str">
        <f>HYPERLINK("http://slimages.macys.com/is/image/MCY/19882882 ")</f>
        <v xml:space="preserve">http://slimages.macys.com/is/image/MCY/19882882 </v>
      </c>
    </row>
    <row r="165" spans="1:20" ht="15" customHeight="1" x14ac:dyDescent="0.25">
      <c r="A165" s="4" t="s">
        <v>2489</v>
      </c>
      <c r="B165" s="2" t="s">
        <v>2487</v>
      </c>
      <c r="C165" s="2" t="s">
        <v>2488</v>
      </c>
      <c r="D165" s="5" t="s">
        <v>2490</v>
      </c>
      <c r="E165" s="4" t="s">
        <v>2491</v>
      </c>
      <c r="F165" s="6">
        <v>14278836</v>
      </c>
      <c r="G165" s="3">
        <v>14278836</v>
      </c>
      <c r="H165" s="7">
        <v>633731524523</v>
      </c>
      <c r="I165" s="8" t="s">
        <v>2345</v>
      </c>
      <c r="J165" s="4">
        <v>4</v>
      </c>
      <c r="K165" s="9">
        <v>34.99</v>
      </c>
      <c r="L165" s="9">
        <v>139.96</v>
      </c>
      <c r="M165" s="4" t="s">
        <v>2346</v>
      </c>
      <c r="N165" s="4" t="s">
        <v>2535</v>
      </c>
      <c r="O165" s="4">
        <v>6</v>
      </c>
      <c r="P165" s="4" t="s">
        <v>2499</v>
      </c>
      <c r="Q165" s="4" t="s">
        <v>2765</v>
      </c>
      <c r="R165" s="4" t="s">
        <v>2552</v>
      </c>
      <c r="S165" s="4" t="s">
        <v>2624</v>
      </c>
      <c r="T165" s="4" t="str">
        <f>HYPERLINK("http://slimages.macys.com/is/image/MCY/15435470 ")</f>
        <v xml:space="preserve">http://slimages.macys.com/is/image/MCY/15435470 </v>
      </c>
    </row>
    <row r="166" spans="1:20" ht="15" customHeight="1" x14ac:dyDescent="0.25">
      <c r="A166" s="4" t="s">
        <v>2489</v>
      </c>
      <c r="B166" s="2" t="s">
        <v>2487</v>
      </c>
      <c r="C166" s="2" t="s">
        <v>2488</v>
      </c>
      <c r="D166" s="5" t="s">
        <v>2490</v>
      </c>
      <c r="E166" s="4" t="s">
        <v>2491</v>
      </c>
      <c r="F166" s="6">
        <v>14278836</v>
      </c>
      <c r="G166" s="3">
        <v>14278836</v>
      </c>
      <c r="H166" s="7">
        <v>195958099630</v>
      </c>
      <c r="I166" s="8" t="s">
        <v>2347</v>
      </c>
      <c r="J166" s="4">
        <v>11</v>
      </c>
      <c r="K166" s="9">
        <v>49.5</v>
      </c>
      <c r="L166" s="9">
        <v>544.5</v>
      </c>
      <c r="M166" s="4" t="s">
        <v>2348</v>
      </c>
      <c r="N166" s="4" t="s">
        <v>2508</v>
      </c>
      <c r="O166" s="4"/>
      <c r="P166" s="4" t="s">
        <v>2985</v>
      </c>
      <c r="Q166" s="4" t="s">
        <v>2715</v>
      </c>
      <c r="R166" s="4"/>
      <c r="S166" s="4"/>
      <c r="T166" s="4" t="str">
        <f>HYPERLINK("http://slimages.macys.com/is/image/MCY/20108582 ")</f>
        <v xml:space="preserve">http://slimages.macys.com/is/image/MCY/20108582 </v>
      </c>
    </row>
    <row r="167" spans="1:20" ht="15" customHeight="1" x14ac:dyDescent="0.25">
      <c r="A167" s="4" t="s">
        <v>2489</v>
      </c>
      <c r="B167" s="2" t="s">
        <v>2487</v>
      </c>
      <c r="C167" s="2" t="s">
        <v>2488</v>
      </c>
      <c r="D167" s="5" t="s">
        <v>2490</v>
      </c>
      <c r="E167" s="4" t="s">
        <v>2491</v>
      </c>
      <c r="F167" s="6">
        <v>14278836</v>
      </c>
      <c r="G167" s="3">
        <v>14278836</v>
      </c>
      <c r="H167" s="7">
        <v>733004723124</v>
      </c>
      <c r="I167" s="8" t="s">
        <v>3177</v>
      </c>
      <c r="J167" s="4">
        <v>1</v>
      </c>
      <c r="K167" s="9">
        <v>25.99</v>
      </c>
      <c r="L167" s="9">
        <v>25.99</v>
      </c>
      <c r="M167" s="4" t="s">
        <v>3178</v>
      </c>
      <c r="N167" s="4" t="s">
        <v>2518</v>
      </c>
      <c r="O167" s="4"/>
      <c r="P167" s="4" t="s">
        <v>2503</v>
      </c>
      <c r="Q167" s="4" t="s">
        <v>2504</v>
      </c>
      <c r="R167" s="4"/>
      <c r="S167" s="4"/>
      <c r="T167" s="4" t="str">
        <f>HYPERLINK("http://slimages.macys.com/is/image/MCY/1041651 ")</f>
        <v xml:space="preserve">http://slimages.macys.com/is/image/MCY/1041651 </v>
      </c>
    </row>
    <row r="168" spans="1:20" ht="15" customHeight="1" x14ac:dyDescent="0.25">
      <c r="A168" s="4" t="s">
        <v>2489</v>
      </c>
      <c r="B168" s="2" t="s">
        <v>2487</v>
      </c>
      <c r="C168" s="2" t="s">
        <v>2488</v>
      </c>
      <c r="D168" s="5" t="s">
        <v>2490</v>
      </c>
      <c r="E168" s="4" t="s">
        <v>2491</v>
      </c>
      <c r="F168" s="6">
        <v>14278836</v>
      </c>
      <c r="G168" s="3">
        <v>14278836</v>
      </c>
      <c r="H168" s="7">
        <v>762120016261</v>
      </c>
      <c r="I168" s="8" t="s">
        <v>2349</v>
      </c>
      <c r="J168" s="4">
        <v>1</v>
      </c>
      <c r="K168" s="9">
        <v>11.99</v>
      </c>
      <c r="L168" s="9">
        <v>11.99</v>
      </c>
      <c r="M168" s="4" t="s">
        <v>2350</v>
      </c>
      <c r="N168" s="4" t="s">
        <v>2642</v>
      </c>
      <c r="O168" s="4" t="s">
        <v>2532</v>
      </c>
      <c r="P168" s="4" t="s">
        <v>2520</v>
      </c>
      <c r="Q168" s="4" t="s">
        <v>2521</v>
      </c>
      <c r="R168" s="4"/>
      <c r="S168" s="4"/>
      <c r="T168" s="4" t="str">
        <f>HYPERLINK("http://slimages.macys.com/is/image/MCY/20673075 ")</f>
        <v xml:space="preserve">http://slimages.macys.com/is/image/MCY/20673075 </v>
      </c>
    </row>
    <row r="169" spans="1:20" ht="15" customHeight="1" x14ac:dyDescent="0.25">
      <c r="A169" s="4" t="s">
        <v>2489</v>
      </c>
      <c r="B169" s="2" t="s">
        <v>2487</v>
      </c>
      <c r="C169" s="2" t="s">
        <v>2488</v>
      </c>
      <c r="D169" s="5" t="s">
        <v>2490</v>
      </c>
      <c r="E169" s="4" t="s">
        <v>2491</v>
      </c>
      <c r="F169" s="6">
        <v>14278836</v>
      </c>
      <c r="G169" s="3">
        <v>14278836</v>
      </c>
      <c r="H169" s="7">
        <v>733004297540</v>
      </c>
      <c r="I169" s="8" t="s">
        <v>2351</v>
      </c>
      <c r="J169" s="4">
        <v>1</v>
      </c>
      <c r="K169" s="9">
        <v>21.99</v>
      </c>
      <c r="L169" s="9">
        <v>21.99</v>
      </c>
      <c r="M169" s="4" t="s">
        <v>2352</v>
      </c>
      <c r="N169" s="4" t="s">
        <v>2600</v>
      </c>
      <c r="O169" s="4" t="s">
        <v>2555</v>
      </c>
      <c r="P169" s="4" t="s">
        <v>2515</v>
      </c>
      <c r="Q169" s="4" t="s">
        <v>2672</v>
      </c>
      <c r="R169" s="4"/>
      <c r="S169" s="4"/>
      <c r="T169" s="4" t="str">
        <f>HYPERLINK("http://slimages.macys.com/is/image/MCY/20531669 ")</f>
        <v xml:space="preserve">http://slimages.macys.com/is/image/MCY/20531669 </v>
      </c>
    </row>
    <row r="170" spans="1:20" ht="15" customHeight="1" x14ac:dyDescent="0.25">
      <c r="A170" s="4" t="s">
        <v>2489</v>
      </c>
      <c r="B170" s="2" t="s">
        <v>2487</v>
      </c>
      <c r="C170" s="2" t="s">
        <v>2488</v>
      </c>
      <c r="D170" s="5" t="s">
        <v>2490</v>
      </c>
      <c r="E170" s="4" t="s">
        <v>2491</v>
      </c>
      <c r="F170" s="6">
        <v>14278836</v>
      </c>
      <c r="G170" s="3">
        <v>14278836</v>
      </c>
      <c r="H170" s="7">
        <v>194257620835</v>
      </c>
      <c r="I170" s="8" t="s">
        <v>3146</v>
      </c>
      <c r="J170" s="4">
        <v>2</v>
      </c>
      <c r="K170" s="9">
        <v>17.989999999999998</v>
      </c>
      <c r="L170" s="9">
        <v>35.979999999999997</v>
      </c>
      <c r="M170" s="4" t="s">
        <v>3147</v>
      </c>
      <c r="N170" s="4" t="s">
        <v>2497</v>
      </c>
      <c r="O170" s="4" t="s">
        <v>2671</v>
      </c>
      <c r="P170" s="4" t="s">
        <v>2619</v>
      </c>
      <c r="Q170" s="4" t="s">
        <v>2500</v>
      </c>
      <c r="R170" s="4"/>
      <c r="S170" s="4"/>
      <c r="T170" s="4" t="str">
        <f>HYPERLINK("http://slimages.macys.com/is/image/MCY/19933283 ")</f>
        <v xml:space="preserve">http://slimages.macys.com/is/image/MCY/19933283 </v>
      </c>
    </row>
    <row r="171" spans="1:20" ht="15" customHeight="1" x14ac:dyDescent="0.25">
      <c r="A171" s="4" t="s">
        <v>2489</v>
      </c>
      <c r="B171" s="2" t="s">
        <v>2487</v>
      </c>
      <c r="C171" s="2" t="s">
        <v>2488</v>
      </c>
      <c r="D171" s="5" t="s">
        <v>2490</v>
      </c>
      <c r="E171" s="4" t="s">
        <v>2491</v>
      </c>
      <c r="F171" s="6">
        <v>14278836</v>
      </c>
      <c r="G171" s="3">
        <v>14278836</v>
      </c>
      <c r="H171" s="7">
        <v>194870476932</v>
      </c>
      <c r="I171" s="8" t="s">
        <v>2353</v>
      </c>
      <c r="J171" s="4">
        <v>1</v>
      </c>
      <c r="K171" s="9">
        <v>29.99</v>
      </c>
      <c r="L171" s="9">
        <v>29.99</v>
      </c>
      <c r="M171" s="4" t="s">
        <v>2354</v>
      </c>
      <c r="N171" s="4" t="s">
        <v>2497</v>
      </c>
      <c r="O171" s="4" t="s">
        <v>2559</v>
      </c>
      <c r="P171" s="4" t="s">
        <v>2562</v>
      </c>
      <c r="Q171" s="4" t="s">
        <v>2881</v>
      </c>
      <c r="R171" s="4"/>
      <c r="S171" s="4"/>
      <c r="T171" s="4" t="str">
        <f>HYPERLINK("http://slimages.macys.com/is/image/MCY/19912193 ")</f>
        <v xml:space="preserve">http://slimages.macys.com/is/image/MCY/19912193 </v>
      </c>
    </row>
    <row r="172" spans="1:20" ht="15" customHeight="1" x14ac:dyDescent="0.25">
      <c r="A172" s="4" t="s">
        <v>2489</v>
      </c>
      <c r="B172" s="2" t="s">
        <v>2487</v>
      </c>
      <c r="C172" s="2" t="s">
        <v>2488</v>
      </c>
      <c r="D172" s="5" t="s">
        <v>2490</v>
      </c>
      <c r="E172" s="4" t="s">
        <v>2491</v>
      </c>
      <c r="F172" s="6">
        <v>14278836</v>
      </c>
      <c r="G172" s="3">
        <v>14278836</v>
      </c>
      <c r="H172" s="7">
        <v>194257555632</v>
      </c>
      <c r="I172" s="8" t="s">
        <v>3273</v>
      </c>
      <c r="J172" s="4">
        <v>1</v>
      </c>
      <c r="K172" s="9">
        <v>16.989999999999998</v>
      </c>
      <c r="L172" s="9">
        <v>16.989999999999998</v>
      </c>
      <c r="M172" s="4" t="s">
        <v>3317</v>
      </c>
      <c r="N172" s="4" t="s">
        <v>2514</v>
      </c>
      <c r="O172" s="4">
        <v>4</v>
      </c>
      <c r="P172" s="4" t="s">
        <v>2619</v>
      </c>
      <c r="Q172" s="4" t="s">
        <v>2654</v>
      </c>
      <c r="R172" s="4"/>
      <c r="S172" s="4"/>
      <c r="T172" s="4" t="str">
        <f>HYPERLINK("http://slimages.macys.com/is/image/MCY/19941219 ")</f>
        <v xml:space="preserve">http://slimages.macys.com/is/image/MCY/19941219 </v>
      </c>
    </row>
    <row r="173" spans="1:20" ht="15" customHeight="1" x14ac:dyDescent="0.25">
      <c r="A173" s="4" t="s">
        <v>2489</v>
      </c>
      <c r="B173" s="2" t="s">
        <v>2487</v>
      </c>
      <c r="C173" s="2" t="s">
        <v>2488</v>
      </c>
      <c r="D173" s="5" t="s">
        <v>2490</v>
      </c>
      <c r="E173" s="4" t="s">
        <v>2491</v>
      </c>
      <c r="F173" s="6">
        <v>14278836</v>
      </c>
      <c r="G173" s="3">
        <v>14278836</v>
      </c>
      <c r="H173" s="7">
        <v>733004591952</v>
      </c>
      <c r="I173" s="8" t="s">
        <v>2355</v>
      </c>
      <c r="J173" s="4">
        <v>1</v>
      </c>
      <c r="K173" s="9">
        <v>14.99</v>
      </c>
      <c r="L173" s="9">
        <v>14.99</v>
      </c>
      <c r="M173" s="4">
        <v>10013151100</v>
      </c>
      <c r="N173" s="4" t="s">
        <v>2600</v>
      </c>
      <c r="O173" s="4"/>
      <c r="P173" s="4" t="s">
        <v>2503</v>
      </c>
      <c r="Q173" s="4" t="s">
        <v>2504</v>
      </c>
      <c r="R173" s="4"/>
      <c r="S173" s="4"/>
      <c r="T173" s="4" t="str">
        <f>HYPERLINK("http://slimages.macys.com/is/image/MCY/19755878 ")</f>
        <v xml:space="preserve">http://slimages.macys.com/is/image/MCY/19755878 </v>
      </c>
    </row>
    <row r="174" spans="1:20" ht="15" customHeight="1" x14ac:dyDescent="0.25">
      <c r="A174" s="4" t="s">
        <v>2489</v>
      </c>
      <c r="B174" s="2" t="s">
        <v>2487</v>
      </c>
      <c r="C174" s="2" t="s">
        <v>2488</v>
      </c>
      <c r="D174" s="5" t="s">
        <v>2490</v>
      </c>
      <c r="E174" s="4" t="s">
        <v>2491</v>
      </c>
      <c r="F174" s="6">
        <v>14278836</v>
      </c>
      <c r="G174" s="3">
        <v>14278836</v>
      </c>
      <c r="H174" s="7">
        <v>742728914794</v>
      </c>
      <c r="I174" s="8" t="s">
        <v>2356</v>
      </c>
      <c r="J174" s="4">
        <v>1</v>
      </c>
      <c r="K174" s="9">
        <v>20.99</v>
      </c>
      <c r="L174" s="9">
        <v>20.99</v>
      </c>
      <c r="M174" s="4" t="s">
        <v>1791</v>
      </c>
      <c r="N174" s="4" t="s">
        <v>2642</v>
      </c>
      <c r="O174" s="4">
        <v>4</v>
      </c>
      <c r="P174" s="4" t="s">
        <v>2499</v>
      </c>
      <c r="Q174" s="4" t="s">
        <v>2765</v>
      </c>
      <c r="R174" s="4"/>
      <c r="S174" s="4"/>
      <c r="T174" s="4" t="str">
        <f>HYPERLINK("http://slimages.macys.com/is/image/MCY/19689669 ")</f>
        <v xml:space="preserve">http://slimages.macys.com/is/image/MCY/19689669 </v>
      </c>
    </row>
    <row r="175" spans="1:20" ht="15" customHeight="1" x14ac:dyDescent="0.25">
      <c r="A175" s="4" t="s">
        <v>2489</v>
      </c>
      <c r="B175" s="2" t="s">
        <v>2487</v>
      </c>
      <c r="C175" s="2" t="s">
        <v>2488</v>
      </c>
      <c r="D175" s="5" t="s">
        <v>2490</v>
      </c>
      <c r="E175" s="4" t="s">
        <v>2491</v>
      </c>
      <c r="F175" s="6">
        <v>14278836</v>
      </c>
      <c r="G175" s="3">
        <v>14278836</v>
      </c>
      <c r="H175" s="7">
        <v>194257614209</v>
      </c>
      <c r="I175" s="8" t="s">
        <v>2357</v>
      </c>
      <c r="J175" s="4">
        <v>1</v>
      </c>
      <c r="K175" s="9">
        <v>7.99</v>
      </c>
      <c r="L175" s="9">
        <v>7.99</v>
      </c>
      <c r="M175" s="4" t="s">
        <v>2358</v>
      </c>
      <c r="N175" s="4" t="s">
        <v>2728</v>
      </c>
      <c r="O175" s="4" t="s">
        <v>2498</v>
      </c>
      <c r="P175" s="4" t="s">
        <v>2619</v>
      </c>
      <c r="Q175" s="4" t="s">
        <v>2500</v>
      </c>
      <c r="R175" s="4"/>
      <c r="S175" s="4"/>
      <c r="T175" s="4" t="str">
        <f>HYPERLINK("http://slimages.macys.com/is/image/MCY/20265480 ")</f>
        <v xml:space="preserve">http://slimages.macys.com/is/image/MCY/20265480 </v>
      </c>
    </row>
    <row r="176" spans="1:20" ht="15" customHeight="1" x14ac:dyDescent="0.25">
      <c r="A176" s="4" t="s">
        <v>2489</v>
      </c>
      <c r="B176" s="2" t="s">
        <v>2487</v>
      </c>
      <c r="C176" s="2" t="s">
        <v>2488</v>
      </c>
      <c r="D176" s="5" t="s">
        <v>2490</v>
      </c>
      <c r="E176" s="4" t="s">
        <v>2491</v>
      </c>
      <c r="F176" s="6">
        <v>14278836</v>
      </c>
      <c r="G176" s="3">
        <v>14278836</v>
      </c>
      <c r="H176" s="7">
        <v>762120689304</v>
      </c>
      <c r="I176" s="8" t="s">
        <v>2359</v>
      </c>
      <c r="J176" s="4">
        <v>1</v>
      </c>
      <c r="K176" s="9">
        <v>16.989999999999998</v>
      </c>
      <c r="L176" s="9">
        <v>16.989999999999998</v>
      </c>
      <c r="M176" s="4" t="s">
        <v>3031</v>
      </c>
      <c r="N176" s="4" t="s">
        <v>2518</v>
      </c>
      <c r="O176" s="4" t="s">
        <v>2519</v>
      </c>
      <c r="P176" s="4" t="s">
        <v>2515</v>
      </c>
      <c r="Q176" s="4" t="s">
        <v>2672</v>
      </c>
      <c r="R176" s="4"/>
      <c r="S176" s="4"/>
      <c r="T176" s="4" t="str">
        <f>HYPERLINK("http://slimages.macys.com/is/image/MCY/20549489 ")</f>
        <v xml:space="preserve">http://slimages.macys.com/is/image/MCY/20549489 </v>
      </c>
    </row>
    <row r="177" spans="1:20" ht="15" customHeight="1" x14ac:dyDescent="0.25">
      <c r="A177" s="4" t="s">
        <v>2489</v>
      </c>
      <c r="B177" s="2" t="s">
        <v>2487</v>
      </c>
      <c r="C177" s="2" t="s">
        <v>2488</v>
      </c>
      <c r="D177" s="5" t="s">
        <v>2490</v>
      </c>
      <c r="E177" s="4" t="s">
        <v>2491</v>
      </c>
      <c r="F177" s="6">
        <v>14278836</v>
      </c>
      <c r="G177" s="3">
        <v>14278836</v>
      </c>
      <c r="H177" s="7">
        <v>195958097124</v>
      </c>
      <c r="I177" s="8" t="s">
        <v>2360</v>
      </c>
      <c r="J177" s="4">
        <v>7</v>
      </c>
      <c r="K177" s="9">
        <v>39.5</v>
      </c>
      <c r="L177" s="9">
        <v>276.5</v>
      </c>
      <c r="M177" s="4" t="s">
        <v>2361</v>
      </c>
      <c r="N177" s="4" t="s">
        <v>2508</v>
      </c>
      <c r="O177" s="4"/>
      <c r="P177" s="4" t="s">
        <v>2985</v>
      </c>
      <c r="Q177" s="4" t="s">
        <v>2715</v>
      </c>
      <c r="R177" s="4"/>
      <c r="S177" s="4"/>
      <c r="T177" s="4" t="str">
        <f>HYPERLINK("http://slimages.macys.com/is/image/MCY/19902722 ")</f>
        <v xml:space="preserve">http://slimages.macys.com/is/image/MCY/19902722 </v>
      </c>
    </row>
    <row r="178" spans="1:20" ht="15" customHeight="1" x14ac:dyDescent="0.25">
      <c r="A178" s="4" t="s">
        <v>2489</v>
      </c>
      <c r="B178" s="2" t="s">
        <v>2487</v>
      </c>
      <c r="C178" s="2" t="s">
        <v>2488</v>
      </c>
      <c r="D178" s="5" t="s">
        <v>2490</v>
      </c>
      <c r="E178" s="4" t="s">
        <v>2491</v>
      </c>
      <c r="F178" s="6">
        <v>14278836</v>
      </c>
      <c r="G178" s="3">
        <v>14278836</v>
      </c>
      <c r="H178" s="7">
        <v>733002399055</v>
      </c>
      <c r="I178" s="8" t="s">
        <v>2362</v>
      </c>
      <c r="J178" s="4">
        <v>1</v>
      </c>
      <c r="K178" s="9">
        <v>21.99</v>
      </c>
      <c r="L178" s="9">
        <v>21.99</v>
      </c>
      <c r="M178" s="4" t="s">
        <v>2363</v>
      </c>
      <c r="N178" s="4"/>
      <c r="O178" s="4" t="s">
        <v>2519</v>
      </c>
      <c r="P178" s="4" t="s">
        <v>2543</v>
      </c>
      <c r="Q178" s="4" t="s">
        <v>2528</v>
      </c>
      <c r="R178" s="4"/>
      <c r="S178" s="4"/>
      <c r="T178" s="4" t="str">
        <f>HYPERLINK("http://slimages.macys.com/is/image/MCY/18721918 ")</f>
        <v xml:space="preserve">http://slimages.macys.com/is/image/MCY/18721918 </v>
      </c>
    </row>
    <row r="179" spans="1:20" ht="15" customHeight="1" x14ac:dyDescent="0.25">
      <c r="A179" s="4" t="s">
        <v>2489</v>
      </c>
      <c r="B179" s="2" t="s">
        <v>2487</v>
      </c>
      <c r="C179" s="2" t="s">
        <v>2488</v>
      </c>
      <c r="D179" s="5" t="s">
        <v>2490</v>
      </c>
      <c r="E179" s="4" t="s">
        <v>2491</v>
      </c>
      <c r="F179" s="6">
        <v>14278836</v>
      </c>
      <c r="G179" s="3">
        <v>14278836</v>
      </c>
      <c r="H179" s="7">
        <v>196027073063</v>
      </c>
      <c r="I179" s="8" t="s">
        <v>1927</v>
      </c>
      <c r="J179" s="4">
        <v>1</v>
      </c>
      <c r="K179" s="9">
        <v>19.989999999999998</v>
      </c>
      <c r="L179" s="9">
        <v>19.989999999999998</v>
      </c>
      <c r="M179" s="4" t="s">
        <v>1928</v>
      </c>
      <c r="N179" s="4" t="s">
        <v>2544</v>
      </c>
      <c r="O179" s="4">
        <v>8</v>
      </c>
      <c r="P179" s="4" t="s">
        <v>2569</v>
      </c>
      <c r="Q179" s="4" t="s">
        <v>2590</v>
      </c>
      <c r="R179" s="4"/>
      <c r="S179" s="4"/>
      <c r="T179" s="4" t="str">
        <f>HYPERLINK("http://slimages.macys.com/is/image/MCY/20662581 ")</f>
        <v xml:space="preserve">http://slimages.macys.com/is/image/MCY/20662581 </v>
      </c>
    </row>
    <row r="180" spans="1:20" ht="15" customHeight="1" x14ac:dyDescent="0.25">
      <c r="A180" s="4" t="s">
        <v>2489</v>
      </c>
      <c r="B180" s="2" t="s">
        <v>2487</v>
      </c>
      <c r="C180" s="2" t="s">
        <v>2488</v>
      </c>
      <c r="D180" s="5" t="s">
        <v>2490</v>
      </c>
      <c r="E180" s="4" t="s">
        <v>2491</v>
      </c>
      <c r="F180" s="6">
        <v>14278836</v>
      </c>
      <c r="G180" s="3">
        <v>14278836</v>
      </c>
      <c r="H180" s="7">
        <v>640013997845</v>
      </c>
      <c r="I180" s="8" t="s">
        <v>2364</v>
      </c>
      <c r="J180" s="4">
        <v>2</v>
      </c>
      <c r="K180" s="9">
        <v>19</v>
      </c>
      <c r="L180" s="9">
        <v>38</v>
      </c>
      <c r="M180" s="4" t="s">
        <v>2553</v>
      </c>
      <c r="N180" s="4" t="s">
        <v>2535</v>
      </c>
      <c r="O180" s="4" t="s">
        <v>2532</v>
      </c>
      <c r="P180" s="4" t="s">
        <v>2556</v>
      </c>
      <c r="Q180" s="4" t="s">
        <v>2557</v>
      </c>
      <c r="R180" s="4"/>
      <c r="S180" s="4"/>
      <c r="T180" s="4" t="str">
        <f>HYPERLINK("http://slimages.macys.com/is/image/MCY/20456846 ")</f>
        <v xml:space="preserve">http://slimages.macys.com/is/image/MCY/20456846 </v>
      </c>
    </row>
    <row r="181" spans="1:20" ht="15" customHeight="1" x14ac:dyDescent="0.25">
      <c r="A181" s="4" t="s">
        <v>2489</v>
      </c>
      <c r="B181" s="2" t="s">
        <v>2487</v>
      </c>
      <c r="C181" s="2" t="s">
        <v>2488</v>
      </c>
      <c r="D181" s="5" t="s">
        <v>2490</v>
      </c>
      <c r="E181" s="4" t="s">
        <v>2491</v>
      </c>
      <c r="F181" s="6">
        <v>14278836</v>
      </c>
      <c r="G181" s="3">
        <v>14278836</v>
      </c>
      <c r="H181" s="7">
        <v>194135420007</v>
      </c>
      <c r="I181" s="8" t="s">
        <v>2365</v>
      </c>
      <c r="J181" s="4">
        <v>1</v>
      </c>
      <c r="K181" s="9">
        <v>12.71</v>
      </c>
      <c r="L181" s="9">
        <v>12.71</v>
      </c>
      <c r="M181" s="4" t="s">
        <v>2206</v>
      </c>
      <c r="N181" s="4"/>
      <c r="O181" s="4"/>
      <c r="P181" s="4" t="s">
        <v>2657</v>
      </c>
      <c r="Q181" s="4" t="s">
        <v>2716</v>
      </c>
      <c r="R181" s="4"/>
      <c r="S181" s="4"/>
      <c r="T181" s="4" t="str">
        <f>HYPERLINK("http://slimages.macys.com/is/image/MCY/19917050 ")</f>
        <v xml:space="preserve">http://slimages.macys.com/is/image/MCY/19917050 </v>
      </c>
    </row>
    <row r="182" spans="1:20" ht="15" customHeight="1" x14ac:dyDescent="0.25">
      <c r="A182" s="4" t="s">
        <v>2489</v>
      </c>
      <c r="B182" s="2" t="s">
        <v>2487</v>
      </c>
      <c r="C182" s="2" t="s">
        <v>2488</v>
      </c>
      <c r="D182" s="5" t="s">
        <v>2490</v>
      </c>
      <c r="E182" s="4" t="s">
        <v>2491</v>
      </c>
      <c r="F182" s="6">
        <v>14278836</v>
      </c>
      <c r="G182" s="3">
        <v>14278836</v>
      </c>
      <c r="H182" s="7">
        <v>195238048228</v>
      </c>
      <c r="I182" s="8" t="s">
        <v>2366</v>
      </c>
      <c r="J182" s="4">
        <v>2</v>
      </c>
      <c r="K182" s="9">
        <v>33.99</v>
      </c>
      <c r="L182" s="9">
        <v>67.98</v>
      </c>
      <c r="M182" s="4" t="s">
        <v>2218</v>
      </c>
      <c r="N182" s="4" t="s">
        <v>2729</v>
      </c>
      <c r="O182" s="4" t="s">
        <v>2555</v>
      </c>
      <c r="P182" s="4" t="s">
        <v>2499</v>
      </c>
      <c r="Q182" s="4" t="s">
        <v>2568</v>
      </c>
      <c r="R182" s="4"/>
      <c r="S182" s="4"/>
      <c r="T182" s="4" t="str">
        <f>HYPERLINK("http://slimages.macys.com/is/image/MCY/19544112 ")</f>
        <v xml:space="preserve">http://slimages.macys.com/is/image/MCY/19544112 </v>
      </c>
    </row>
    <row r="183" spans="1:20" ht="15" customHeight="1" x14ac:dyDescent="0.25">
      <c r="A183" s="4" t="s">
        <v>2489</v>
      </c>
      <c r="B183" s="2" t="s">
        <v>2487</v>
      </c>
      <c r="C183" s="2" t="s">
        <v>2488</v>
      </c>
      <c r="D183" s="5" t="s">
        <v>2490</v>
      </c>
      <c r="E183" s="4" t="s">
        <v>2491</v>
      </c>
      <c r="F183" s="6">
        <v>14278836</v>
      </c>
      <c r="G183" s="3">
        <v>14278836</v>
      </c>
      <c r="H183" s="7">
        <v>194135406667</v>
      </c>
      <c r="I183" s="8" t="s">
        <v>2367</v>
      </c>
      <c r="J183" s="4">
        <v>1</v>
      </c>
      <c r="K183" s="9">
        <v>18.54</v>
      </c>
      <c r="L183" s="9">
        <v>18.54</v>
      </c>
      <c r="M183" s="4" t="s">
        <v>2368</v>
      </c>
      <c r="N183" s="4"/>
      <c r="O183" s="4" t="s">
        <v>2705</v>
      </c>
      <c r="P183" s="4" t="s">
        <v>2657</v>
      </c>
      <c r="Q183" s="4" t="s">
        <v>2716</v>
      </c>
      <c r="R183" s="4"/>
      <c r="S183" s="4"/>
      <c r="T183" s="4"/>
    </row>
    <row r="184" spans="1:20" ht="15" customHeight="1" x14ac:dyDescent="0.25">
      <c r="A184" s="4" t="s">
        <v>2489</v>
      </c>
      <c r="B184" s="2" t="s">
        <v>2487</v>
      </c>
      <c r="C184" s="2" t="s">
        <v>2488</v>
      </c>
      <c r="D184" s="5" t="s">
        <v>2490</v>
      </c>
      <c r="E184" s="4" t="s">
        <v>2491</v>
      </c>
      <c r="F184" s="6">
        <v>14278836</v>
      </c>
      <c r="G184" s="3">
        <v>14278836</v>
      </c>
      <c r="H184" s="7">
        <v>733003908119</v>
      </c>
      <c r="I184" s="8" t="s">
        <v>2369</v>
      </c>
      <c r="J184" s="4">
        <v>1</v>
      </c>
      <c r="K184" s="9">
        <v>9.99</v>
      </c>
      <c r="L184" s="9">
        <v>9.99</v>
      </c>
      <c r="M184" s="4" t="s">
        <v>1832</v>
      </c>
      <c r="N184" s="4" t="s">
        <v>2600</v>
      </c>
      <c r="O184" s="4" t="s">
        <v>2601</v>
      </c>
      <c r="P184" s="4" t="s">
        <v>2503</v>
      </c>
      <c r="Q184" s="4" t="s">
        <v>2504</v>
      </c>
      <c r="R184" s="4"/>
      <c r="S184" s="4"/>
      <c r="T184" s="4" t="str">
        <f>HYPERLINK("http://slimages.macys.com/is/image/MCY/17661971 ")</f>
        <v xml:space="preserve">http://slimages.macys.com/is/image/MCY/17661971 </v>
      </c>
    </row>
    <row r="185" spans="1:20" ht="15" customHeight="1" x14ac:dyDescent="0.25">
      <c r="A185" s="4" t="s">
        <v>2489</v>
      </c>
      <c r="B185" s="2" t="s">
        <v>2487</v>
      </c>
      <c r="C185" s="2" t="s">
        <v>2488</v>
      </c>
      <c r="D185" s="5" t="s">
        <v>2490</v>
      </c>
      <c r="E185" s="4" t="s">
        <v>2491</v>
      </c>
      <c r="F185" s="6">
        <v>14278836</v>
      </c>
      <c r="G185" s="3">
        <v>14278836</v>
      </c>
      <c r="H185" s="7">
        <v>733003908126</v>
      </c>
      <c r="I185" s="8" t="s">
        <v>2370</v>
      </c>
      <c r="J185" s="4">
        <v>1</v>
      </c>
      <c r="K185" s="9">
        <v>9.99</v>
      </c>
      <c r="L185" s="9">
        <v>9.99</v>
      </c>
      <c r="M185" s="4" t="s">
        <v>1832</v>
      </c>
      <c r="N185" s="4" t="s">
        <v>2600</v>
      </c>
      <c r="O185" s="4" t="s">
        <v>2566</v>
      </c>
      <c r="P185" s="4" t="s">
        <v>2503</v>
      </c>
      <c r="Q185" s="4" t="s">
        <v>2504</v>
      </c>
      <c r="R185" s="4"/>
      <c r="S185" s="4"/>
      <c r="T185" s="4" t="str">
        <f>HYPERLINK("http://slimages.macys.com/is/image/MCY/17661971 ")</f>
        <v xml:space="preserve">http://slimages.macys.com/is/image/MCY/17661971 </v>
      </c>
    </row>
    <row r="186" spans="1:20" ht="15" customHeight="1" x14ac:dyDescent="0.25">
      <c r="A186" s="4" t="s">
        <v>2489</v>
      </c>
      <c r="B186" s="2" t="s">
        <v>2487</v>
      </c>
      <c r="C186" s="2" t="s">
        <v>2488</v>
      </c>
      <c r="D186" s="5" t="s">
        <v>2490</v>
      </c>
      <c r="E186" s="4" t="s">
        <v>2491</v>
      </c>
      <c r="F186" s="6">
        <v>14278836</v>
      </c>
      <c r="G186" s="3">
        <v>14278836</v>
      </c>
      <c r="H186" s="7">
        <v>762120016278</v>
      </c>
      <c r="I186" s="8" t="s">
        <v>2371</v>
      </c>
      <c r="J186" s="4">
        <v>2</v>
      </c>
      <c r="K186" s="9">
        <v>11.99</v>
      </c>
      <c r="L186" s="9">
        <v>23.98</v>
      </c>
      <c r="M186" s="4" t="s">
        <v>2162</v>
      </c>
      <c r="N186" s="4" t="s">
        <v>2565</v>
      </c>
      <c r="O186" s="4" t="s">
        <v>2519</v>
      </c>
      <c r="P186" s="4" t="s">
        <v>2520</v>
      </c>
      <c r="Q186" s="4" t="s">
        <v>2521</v>
      </c>
      <c r="R186" s="4"/>
      <c r="S186" s="4"/>
      <c r="T186" s="4" t="str">
        <f>HYPERLINK("http://slimages.macys.com/is/image/MCY/20673081 ")</f>
        <v xml:space="preserve">http://slimages.macys.com/is/image/MCY/20673081 </v>
      </c>
    </row>
    <row r="187" spans="1:20" ht="15" customHeight="1" x14ac:dyDescent="0.25">
      <c r="A187" s="4" t="s">
        <v>2489</v>
      </c>
      <c r="B187" s="2" t="s">
        <v>2487</v>
      </c>
      <c r="C187" s="2" t="s">
        <v>2488</v>
      </c>
      <c r="D187" s="5" t="s">
        <v>2490</v>
      </c>
      <c r="E187" s="4" t="s">
        <v>2491</v>
      </c>
      <c r="F187" s="6">
        <v>14278836</v>
      </c>
      <c r="G187" s="3">
        <v>14278836</v>
      </c>
      <c r="H187" s="7">
        <v>733004291388</v>
      </c>
      <c r="I187" s="8" t="s">
        <v>2372</v>
      </c>
      <c r="J187" s="4">
        <v>1</v>
      </c>
      <c r="K187" s="9">
        <v>28.99</v>
      </c>
      <c r="L187" s="9">
        <v>28.99</v>
      </c>
      <c r="M187" s="4" t="s">
        <v>2373</v>
      </c>
      <c r="N187" s="4" t="s">
        <v>2600</v>
      </c>
      <c r="O187" s="4" t="s">
        <v>2502</v>
      </c>
      <c r="P187" s="4" t="s">
        <v>2503</v>
      </c>
      <c r="Q187" s="4" t="s">
        <v>2504</v>
      </c>
      <c r="R187" s="4"/>
      <c r="S187" s="4"/>
      <c r="T187" s="4" t="str">
        <f>HYPERLINK("http://slimages.macys.com/is/image/MCY/19997366 ")</f>
        <v xml:space="preserve">http://slimages.macys.com/is/image/MCY/19997366 </v>
      </c>
    </row>
    <row r="188" spans="1:20" ht="15" customHeight="1" x14ac:dyDescent="0.25">
      <c r="A188" s="4" t="s">
        <v>2489</v>
      </c>
      <c r="B188" s="2" t="s">
        <v>2487</v>
      </c>
      <c r="C188" s="2" t="s">
        <v>2488</v>
      </c>
      <c r="D188" s="5" t="s">
        <v>2490</v>
      </c>
      <c r="E188" s="4" t="s">
        <v>2491</v>
      </c>
      <c r="F188" s="6">
        <v>14278836</v>
      </c>
      <c r="G188" s="3">
        <v>14278836</v>
      </c>
      <c r="H188" s="7">
        <v>733003701963</v>
      </c>
      <c r="I188" s="8" t="s">
        <v>2374</v>
      </c>
      <c r="J188" s="4">
        <v>1</v>
      </c>
      <c r="K188" s="9">
        <v>7.99</v>
      </c>
      <c r="L188" s="9">
        <v>7.99</v>
      </c>
      <c r="M188" s="4" t="s">
        <v>2375</v>
      </c>
      <c r="N188" s="4" t="s">
        <v>2561</v>
      </c>
      <c r="O188" s="4" t="s">
        <v>2653</v>
      </c>
      <c r="P188" s="4" t="s">
        <v>2602</v>
      </c>
      <c r="Q188" s="4" t="s">
        <v>2528</v>
      </c>
      <c r="R188" s="4"/>
      <c r="S188" s="4"/>
      <c r="T188" s="4" t="str">
        <f>HYPERLINK("http://slimages.macys.com/is/image/MCY/19635572 ")</f>
        <v xml:space="preserve">http://slimages.macys.com/is/image/MCY/19635572 </v>
      </c>
    </row>
    <row r="189" spans="1:20" ht="15" customHeight="1" x14ac:dyDescent="0.25">
      <c r="A189" s="4" t="s">
        <v>2489</v>
      </c>
      <c r="B189" s="2" t="s">
        <v>2487</v>
      </c>
      <c r="C189" s="2" t="s">
        <v>2488</v>
      </c>
      <c r="D189" s="5" t="s">
        <v>2490</v>
      </c>
      <c r="E189" s="4" t="s">
        <v>2491</v>
      </c>
      <c r="F189" s="6">
        <v>14278836</v>
      </c>
      <c r="G189" s="3">
        <v>14278836</v>
      </c>
      <c r="H189" s="7">
        <v>194931205211</v>
      </c>
      <c r="I189" s="8" t="s">
        <v>1899</v>
      </c>
      <c r="J189" s="4">
        <v>1</v>
      </c>
      <c r="K189" s="9">
        <v>19.8</v>
      </c>
      <c r="L189" s="9">
        <v>19.8</v>
      </c>
      <c r="M189" s="4" t="s">
        <v>1855</v>
      </c>
      <c r="N189" s="4" t="s">
        <v>2523</v>
      </c>
      <c r="O189" s="4"/>
      <c r="P189" s="4" t="s">
        <v>2622</v>
      </c>
      <c r="Q189" s="4" t="s">
        <v>2643</v>
      </c>
      <c r="R189" s="4"/>
      <c r="S189" s="4"/>
      <c r="T189" s="4" t="str">
        <f>HYPERLINK("http://slimages.macys.com/is/image/MCY/19992022 ")</f>
        <v xml:space="preserve">http://slimages.macys.com/is/image/MCY/19992022 </v>
      </c>
    </row>
    <row r="190" spans="1:20" ht="15" customHeight="1" x14ac:dyDescent="0.25">
      <c r="A190" s="4" t="s">
        <v>2489</v>
      </c>
      <c r="B190" s="2" t="s">
        <v>2487</v>
      </c>
      <c r="C190" s="2" t="s">
        <v>2488</v>
      </c>
      <c r="D190" s="5" t="s">
        <v>2490</v>
      </c>
      <c r="E190" s="4" t="s">
        <v>2491</v>
      </c>
      <c r="F190" s="6">
        <v>14278836</v>
      </c>
      <c r="G190" s="3">
        <v>14278836</v>
      </c>
      <c r="H190" s="7">
        <v>762120087247</v>
      </c>
      <c r="I190" s="8" t="s">
        <v>3044</v>
      </c>
      <c r="J190" s="4">
        <v>4</v>
      </c>
      <c r="K190" s="9">
        <v>11.99</v>
      </c>
      <c r="L190" s="9">
        <v>47.96</v>
      </c>
      <c r="M190" s="4" t="s">
        <v>3045</v>
      </c>
      <c r="N190" s="4" t="s">
        <v>2567</v>
      </c>
      <c r="O190" s="4">
        <v>5</v>
      </c>
      <c r="P190" s="4" t="s">
        <v>2602</v>
      </c>
      <c r="Q190" s="4" t="s">
        <v>2528</v>
      </c>
      <c r="R190" s="4"/>
      <c r="S190" s="4"/>
      <c r="T190" s="4" t="str">
        <f>HYPERLINK("http://slimages.macys.com/is/image/MCY/20691887 ")</f>
        <v xml:space="preserve">http://slimages.macys.com/is/image/MCY/20691887 </v>
      </c>
    </row>
    <row r="191" spans="1:20" ht="15" customHeight="1" x14ac:dyDescent="0.25">
      <c r="A191" s="4" t="s">
        <v>2489</v>
      </c>
      <c r="B191" s="2" t="s">
        <v>2487</v>
      </c>
      <c r="C191" s="2" t="s">
        <v>2488</v>
      </c>
      <c r="D191" s="5" t="s">
        <v>2490</v>
      </c>
      <c r="E191" s="4" t="s">
        <v>2491</v>
      </c>
      <c r="F191" s="6">
        <v>14278836</v>
      </c>
      <c r="G191" s="3">
        <v>14278836</v>
      </c>
      <c r="H191" s="7">
        <v>194257500113</v>
      </c>
      <c r="I191" s="8" t="s">
        <v>2376</v>
      </c>
      <c r="J191" s="4">
        <v>1</v>
      </c>
      <c r="K191" s="9">
        <v>15.99</v>
      </c>
      <c r="L191" s="9">
        <v>15.99</v>
      </c>
      <c r="M191" s="4" t="s">
        <v>2522</v>
      </c>
      <c r="N191" s="4" t="s">
        <v>2523</v>
      </c>
      <c r="O191" s="4">
        <v>7</v>
      </c>
      <c r="P191" s="4" t="s">
        <v>2499</v>
      </c>
      <c r="Q191" s="4" t="s">
        <v>2525</v>
      </c>
      <c r="R191" s="4"/>
      <c r="S191" s="4"/>
      <c r="T191" s="4" t="str">
        <f>HYPERLINK("http://slimages.macys.com/is/image/MCY/20012420 ")</f>
        <v xml:space="preserve">http://slimages.macys.com/is/image/MCY/20012420 </v>
      </c>
    </row>
    <row r="192" spans="1:20" ht="15" customHeight="1" x14ac:dyDescent="0.25">
      <c r="A192" s="4" t="s">
        <v>2489</v>
      </c>
      <c r="B192" s="2" t="s">
        <v>2487</v>
      </c>
      <c r="C192" s="2" t="s">
        <v>2488</v>
      </c>
      <c r="D192" s="5" t="s">
        <v>2490</v>
      </c>
      <c r="E192" s="4" t="s">
        <v>2491</v>
      </c>
      <c r="F192" s="6">
        <v>14278836</v>
      </c>
      <c r="G192" s="3">
        <v>14278836</v>
      </c>
      <c r="H192" s="7">
        <v>733004748431</v>
      </c>
      <c r="I192" s="8" t="s">
        <v>2377</v>
      </c>
      <c r="J192" s="4">
        <v>2</v>
      </c>
      <c r="K192" s="9">
        <v>7.99</v>
      </c>
      <c r="L192" s="9">
        <v>15.98</v>
      </c>
      <c r="M192" s="4" t="s">
        <v>2341</v>
      </c>
      <c r="N192" s="4" t="s">
        <v>2565</v>
      </c>
      <c r="O192" s="4" t="s">
        <v>2629</v>
      </c>
      <c r="P192" s="4" t="s">
        <v>2503</v>
      </c>
      <c r="Q192" s="4" t="s">
        <v>2504</v>
      </c>
      <c r="R192" s="4"/>
      <c r="S192" s="4"/>
      <c r="T192" s="4" t="str">
        <f>HYPERLINK("http://slimages.macys.com/is/image/MCY/19977364 ")</f>
        <v xml:space="preserve">http://slimages.macys.com/is/image/MCY/19977364 </v>
      </c>
    </row>
    <row r="193" spans="1:20" ht="15" customHeight="1" x14ac:dyDescent="0.25">
      <c r="A193" s="4" t="s">
        <v>2489</v>
      </c>
      <c r="B193" s="2" t="s">
        <v>2487</v>
      </c>
      <c r="C193" s="2" t="s">
        <v>2488</v>
      </c>
      <c r="D193" s="5" t="s">
        <v>2490</v>
      </c>
      <c r="E193" s="4" t="s">
        <v>2491</v>
      </c>
      <c r="F193" s="6">
        <v>14278836</v>
      </c>
      <c r="G193" s="3">
        <v>14278836</v>
      </c>
      <c r="H193" s="7">
        <v>762120160896</v>
      </c>
      <c r="I193" s="8" t="s">
        <v>3424</v>
      </c>
      <c r="J193" s="4">
        <v>1</v>
      </c>
      <c r="K193" s="9">
        <v>7.99</v>
      </c>
      <c r="L193" s="9">
        <v>7.99</v>
      </c>
      <c r="M193" s="4" t="s">
        <v>3425</v>
      </c>
      <c r="N193" s="4" t="s">
        <v>2731</v>
      </c>
      <c r="O193" s="4">
        <v>6</v>
      </c>
      <c r="P193" s="4" t="s">
        <v>2602</v>
      </c>
      <c r="Q193" s="4" t="s">
        <v>2528</v>
      </c>
      <c r="R193" s="4"/>
      <c r="S193" s="4"/>
      <c r="T193" s="4" t="str">
        <f>HYPERLINK("http://slimages.macys.com/is/image/MCY/20819722 ")</f>
        <v xml:space="preserve">http://slimages.macys.com/is/image/MCY/20819722 </v>
      </c>
    </row>
    <row r="194" spans="1:20" ht="15" customHeight="1" x14ac:dyDescent="0.25">
      <c r="A194" s="4" t="s">
        <v>2489</v>
      </c>
      <c r="B194" s="2" t="s">
        <v>2487</v>
      </c>
      <c r="C194" s="2" t="s">
        <v>2488</v>
      </c>
      <c r="D194" s="5" t="s">
        <v>2490</v>
      </c>
      <c r="E194" s="4" t="s">
        <v>2491</v>
      </c>
      <c r="F194" s="6">
        <v>14278836</v>
      </c>
      <c r="G194" s="3">
        <v>14278836</v>
      </c>
      <c r="H194" s="7">
        <v>762120022934</v>
      </c>
      <c r="I194" s="8" t="s">
        <v>2378</v>
      </c>
      <c r="J194" s="4">
        <v>2</v>
      </c>
      <c r="K194" s="9">
        <v>7.99</v>
      </c>
      <c r="L194" s="9">
        <v>15.98</v>
      </c>
      <c r="M194" s="4" t="s">
        <v>2337</v>
      </c>
      <c r="N194" s="4" t="s">
        <v>2518</v>
      </c>
      <c r="O194" s="4" t="s">
        <v>2650</v>
      </c>
      <c r="P194" s="4" t="s">
        <v>2503</v>
      </c>
      <c r="Q194" s="4" t="s">
        <v>2504</v>
      </c>
      <c r="R194" s="4"/>
      <c r="S194" s="4"/>
      <c r="T194" s="4" t="str">
        <f>HYPERLINK("http://slimages.macys.com/is/image/MCY/19977730 ")</f>
        <v xml:space="preserve">http://slimages.macys.com/is/image/MCY/19977730 </v>
      </c>
    </row>
    <row r="195" spans="1:20" ht="15" customHeight="1" x14ac:dyDescent="0.25">
      <c r="A195" s="4" t="s">
        <v>2489</v>
      </c>
      <c r="B195" s="2" t="s">
        <v>2487</v>
      </c>
      <c r="C195" s="2" t="s">
        <v>2488</v>
      </c>
      <c r="D195" s="5" t="s">
        <v>2490</v>
      </c>
      <c r="E195" s="4" t="s">
        <v>2491</v>
      </c>
      <c r="F195" s="6">
        <v>14278836</v>
      </c>
      <c r="G195" s="3">
        <v>14278836</v>
      </c>
      <c r="H195" s="7">
        <v>733004745829</v>
      </c>
      <c r="I195" s="8" t="s">
        <v>2379</v>
      </c>
      <c r="J195" s="4">
        <v>1</v>
      </c>
      <c r="K195" s="9">
        <v>6.99</v>
      </c>
      <c r="L195" s="9">
        <v>6.99</v>
      </c>
      <c r="M195" s="4" t="s">
        <v>2939</v>
      </c>
      <c r="N195" s="4" t="s">
        <v>2638</v>
      </c>
      <c r="O195" s="4" t="s">
        <v>2559</v>
      </c>
      <c r="P195" s="4" t="s">
        <v>2503</v>
      </c>
      <c r="Q195" s="4" t="s">
        <v>2504</v>
      </c>
      <c r="R195" s="4"/>
      <c r="S195" s="4"/>
      <c r="T195" s="4" t="str">
        <f>HYPERLINK("http://slimages.macys.com/is/image/MCY/19977792 ")</f>
        <v xml:space="preserve">http://slimages.macys.com/is/image/MCY/19977792 </v>
      </c>
    </row>
    <row r="196" spans="1:20" ht="15" customHeight="1" x14ac:dyDescent="0.25">
      <c r="A196" s="4" t="s">
        <v>2489</v>
      </c>
      <c r="B196" s="2" t="s">
        <v>2487</v>
      </c>
      <c r="C196" s="2" t="s">
        <v>2488</v>
      </c>
      <c r="D196" s="5" t="s">
        <v>2490</v>
      </c>
      <c r="E196" s="4" t="s">
        <v>2491</v>
      </c>
      <c r="F196" s="6">
        <v>14278836</v>
      </c>
      <c r="G196" s="3">
        <v>14278836</v>
      </c>
      <c r="H196" s="7">
        <v>733004748561</v>
      </c>
      <c r="I196" s="8" t="s">
        <v>2380</v>
      </c>
      <c r="J196" s="4">
        <v>4</v>
      </c>
      <c r="K196" s="9">
        <v>7.99</v>
      </c>
      <c r="L196" s="9">
        <v>31.96</v>
      </c>
      <c r="M196" s="4" t="s">
        <v>2287</v>
      </c>
      <c r="N196" s="4" t="s">
        <v>2505</v>
      </c>
      <c r="O196" s="4" t="s">
        <v>2628</v>
      </c>
      <c r="P196" s="4" t="s">
        <v>2503</v>
      </c>
      <c r="Q196" s="4" t="s">
        <v>2504</v>
      </c>
      <c r="R196" s="4"/>
      <c r="S196" s="4"/>
      <c r="T196" s="4" t="str">
        <f>HYPERLINK("http://slimages.macys.com/is/image/MCY/19977352 ")</f>
        <v xml:space="preserve">http://slimages.macys.com/is/image/MCY/19977352 </v>
      </c>
    </row>
    <row r="197" spans="1:20" ht="15" customHeight="1" x14ac:dyDescent="0.25">
      <c r="A197" s="4" t="s">
        <v>2489</v>
      </c>
      <c r="B197" s="2" t="s">
        <v>2487</v>
      </c>
      <c r="C197" s="2" t="s">
        <v>2488</v>
      </c>
      <c r="D197" s="5" t="s">
        <v>2490</v>
      </c>
      <c r="E197" s="4" t="s">
        <v>2491</v>
      </c>
      <c r="F197" s="6">
        <v>14278836</v>
      </c>
      <c r="G197" s="3">
        <v>14278836</v>
      </c>
      <c r="H197" s="7">
        <v>733001050681</v>
      </c>
      <c r="I197" s="8" t="s">
        <v>2919</v>
      </c>
      <c r="J197" s="4">
        <v>1</v>
      </c>
      <c r="K197" s="9">
        <v>8.99</v>
      </c>
      <c r="L197" s="9">
        <v>8.99</v>
      </c>
      <c r="M197" s="4" t="s">
        <v>2674</v>
      </c>
      <c r="N197" s="4" t="s">
        <v>2501</v>
      </c>
      <c r="O197" s="4"/>
      <c r="P197" s="4" t="s">
        <v>2503</v>
      </c>
      <c r="Q197" s="4" t="s">
        <v>2504</v>
      </c>
      <c r="R197" s="4"/>
      <c r="S197" s="4"/>
      <c r="T197" s="4" t="str">
        <f>HYPERLINK("http://slimages.macys.com/is/image/MCY/17586312 ")</f>
        <v xml:space="preserve">http://slimages.macys.com/is/image/MCY/17586312 </v>
      </c>
    </row>
    <row r="198" spans="1:20" ht="15" customHeight="1" x14ac:dyDescent="0.25">
      <c r="A198" s="4" t="s">
        <v>2489</v>
      </c>
      <c r="B198" s="2" t="s">
        <v>2487</v>
      </c>
      <c r="C198" s="2" t="s">
        <v>2488</v>
      </c>
      <c r="D198" s="5" t="s">
        <v>2490</v>
      </c>
      <c r="E198" s="4" t="s">
        <v>2491</v>
      </c>
      <c r="F198" s="6">
        <v>14278836</v>
      </c>
      <c r="G198" s="3">
        <v>14278836</v>
      </c>
      <c r="H198" s="7">
        <v>762120160865</v>
      </c>
      <c r="I198" s="8" t="s">
        <v>2626</v>
      </c>
      <c r="J198" s="4">
        <v>1</v>
      </c>
      <c r="K198" s="9">
        <v>7.99</v>
      </c>
      <c r="L198" s="9">
        <v>7.99</v>
      </c>
      <c r="M198" s="4" t="s">
        <v>2627</v>
      </c>
      <c r="N198" s="4" t="s">
        <v>2514</v>
      </c>
      <c r="O198" s="4" t="s">
        <v>2628</v>
      </c>
      <c r="P198" s="4" t="s">
        <v>2602</v>
      </c>
      <c r="Q198" s="4" t="s">
        <v>2528</v>
      </c>
      <c r="R198" s="4"/>
      <c r="S198" s="4"/>
      <c r="T198" s="4" t="str">
        <f>HYPERLINK("http://slimages.macys.com/is/image/MCY/20819718 ")</f>
        <v xml:space="preserve">http://slimages.macys.com/is/image/MCY/20819718 </v>
      </c>
    </row>
    <row r="199" spans="1:20" ht="15" customHeight="1" x14ac:dyDescent="0.25">
      <c r="A199" s="4" t="s">
        <v>2489</v>
      </c>
      <c r="B199" s="2" t="s">
        <v>2487</v>
      </c>
      <c r="C199" s="2" t="s">
        <v>2488</v>
      </c>
      <c r="D199" s="5" t="s">
        <v>2490</v>
      </c>
      <c r="E199" s="4" t="s">
        <v>2491</v>
      </c>
      <c r="F199" s="6">
        <v>14278836</v>
      </c>
      <c r="G199" s="3">
        <v>14278836</v>
      </c>
      <c r="H199" s="7">
        <v>733004920127</v>
      </c>
      <c r="I199" s="8" t="s">
        <v>2381</v>
      </c>
      <c r="J199" s="4">
        <v>1</v>
      </c>
      <c r="K199" s="9">
        <v>7.99</v>
      </c>
      <c r="L199" s="9">
        <v>7.99</v>
      </c>
      <c r="M199" s="4" t="s">
        <v>2382</v>
      </c>
      <c r="N199" s="4" t="s">
        <v>2531</v>
      </c>
      <c r="O199" s="4" t="s">
        <v>2650</v>
      </c>
      <c r="P199" s="4" t="s">
        <v>2503</v>
      </c>
      <c r="Q199" s="4" t="s">
        <v>2504</v>
      </c>
      <c r="R199" s="4"/>
      <c r="S199" s="4"/>
      <c r="T199" s="4" t="str">
        <f>HYPERLINK("http://slimages.macys.com/is/image/MCY/19977012 ")</f>
        <v xml:space="preserve">http://slimages.macys.com/is/image/MCY/19977012 </v>
      </c>
    </row>
    <row r="200" spans="1:20" ht="15" customHeight="1" x14ac:dyDescent="0.25">
      <c r="A200" s="4" t="s">
        <v>2489</v>
      </c>
      <c r="B200" s="2" t="s">
        <v>2487</v>
      </c>
      <c r="C200" s="2" t="s">
        <v>2488</v>
      </c>
      <c r="D200" s="5" t="s">
        <v>2490</v>
      </c>
      <c r="E200" s="4" t="s">
        <v>2491</v>
      </c>
      <c r="F200" s="6">
        <v>14278836</v>
      </c>
      <c r="G200" s="3">
        <v>14278836</v>
      </c>
      <c r="H200" s="7">
        <v>762120123549</v>
      </c>
      <c r="I200" s="8" t="s">
        <v>1793</v>
      </c>
      <c r="J200" s="4">
        <v>1</v>
      </c>
      <c r="K200" s="9">
        <v>6.99</v>
      </c>
      <c r="L200" s="9">
        <v>6.99</v>
      </c>
      <c r="M200" s="4" t="s">
        <v>1794</v>
      </c>
      <c r="N200" s="4" t="s">
        <v>2561</v>
      </c>
      <c r="O200" s="4" t="s">
        <v>2493</v>
      </c>
      <c r="P200" s="4" t="s">
        <v>2503</v>
      </c>
      <c r="Q200" s="4" t="s">
        <v>2504</v>
      </c>
      <c r="R200" s="4"/>
      <c r="S200" s="4"/>
      <c r="T200" s="4" t="str">
        <f>HYPERLINK("http://slimages.macys.com/is/image/MCY/20385731 ")</f>
        <v xml:space="preserve">http://slimages.macys.com/is/image/MCY/20385731 </v>
      </c>
    </row>
    <row r="201" spans="1:20" ht="15" customHeight="1" x14ac:dyDescent="0.25">
      <c r="A201" s="4" t="s">
        <v>2489</v>
      </c>
      <c r="B201" s="2" t="s">
        <v>2487</v>
      </c>
      <c r="C201" s="2" t="s">
        <v>2488</v>
      </c>
      <c r="D201" s="5" t="s">
        <v>2490</v>
      </c>
      <c r="E201" s="4" t="s">
        <v>2491</v>
      </c>
      <c r="F201" s="6">
        <v>14278836</v>
      </c>
      <c r="G201" s="3">
        <v>14278836</v>
      </c>
      <c r="H201" s="7">
        <v>762120113069</v>
      </c>
      <c r="I201" s="8" t="s">
        <v>3269</v>
      </c>
      <c r="J201" s="4">
        <v>2</v>
      </c>
      <c r="K201" s="9">
        <v>6.99</v>
      </c>
      <c r="L201" s="9">
        <v>13.98</v>
      </c>
      <c r="M201" s="4" t="s">
        <v>3270</v>
      </c>
      <c r="N201" s="4" t="s">
        <v>2518</v>
      </c>
      <c r="O201" s="4" t="s">
        <v>2502</v>
      </c>
      <c r="P201" s="4" t="s">
        <v>2503</v>
      </c>
      <c r="Q201" s="4" t="s">
        <v>2504</v>
      </c>
      <c r="R201" s="4"/>
      <c r="S201" s="4"/>
      <c r="T201" s="4" t="str">
        <f>HYPERLINK("http://slimages.macys.com/is/image/MCY/19977414 ")</f>
        <v xml:space="preserve">http://slimages.macys.com/is/image/MCY/19977414 </v>
      </c>
    </row>
    <row r="202" spans="1:20" ht="15" customHeight="1" x14ac:dyDescent="0.25">
      <c r="A202" s="4" t="s">
        <v>2489</v>
      </c>
      <c r="B202" s="2" t="s">
        <v>2487</v>
      </c>
      <c r="C202" s="2" t="s">
        <v>2488</v>
      </c>
      <c r="D202" s="5" t="s">
        <v>2490</v>
      </c>
      <c r="E202" s="4" t="s">
        <v>2491</v>
      </c>
      <c r="F202" s="6">
        <v>14278836</v>
      </c>
      <c r="G202" s="3">
        <v>14278836</v>
      </c>
      <c r="H202" s="7">
        <v>733002930111</v>
      </c>
      <c r="I202" s="8" t="s">
        <v>2383</v>
      </c>
      <c r="J202" s="4">
        <v>1</v>
      </c>
      <c r="K202" s="9">
        <v>6.99</v>
      </c>
      <c r="L202" s="9">
        <v>6.99</v>
      </c>
      <c r="M202" s="4" t="s">
        <v>2892</v>
      </c>
      <c r="N202" s="4" t="s">
        <v>2548</v>
      </c>
      <c r="O202" s="4" t="s">
        <v>2519</v>
      </c>
      <c r="P202" s="4" t="s">
        <v>2543</v>
      </c>
      <c r="Q202" s="4" t="s">
        <v>2528</v>
      </c>
      <c r="R202" s="4"/>
      <c r="S202" s="4"/>
      <c r="T202" s="4" t="str">
        <f>HYPERLINK("http://slimages.macys.com/is/image/MCY/17688402 ")</f>
        <v xml:space="preserve">http://slimages.macys.com/is/image/MCY/17688402 </v>
      </c>
    </row>
    <row r="203" spans="1:20" ht="15" customHeight="1" x14ac:dyDescent="0.25">
      <c r="A203" s="4" t="s">
        <v>2489</v>
      </c>
      <c r="B203" s="2" t="s">
        <v>2487</v>
      </c>
      <c r="C203" s="2" t="s">
        <v>2488</v>
      </c>
      <c r="D203" s="5" t="s">
        <v>2490</v>
      </c>
      <c r="E203" s="4" t="s">
        <v>2491</v>
      </c>
      <c r="F203" s="6">
        <v>14278836</v>
      </c>
      <c r="G203" s="3">
        <v>14278836</v>
      </c>
      <c r="H203" s="7">
        <v>194257444943</v>
      </c>
      <c r="I203" s="8" t="s">
        <v>2384</v>
      </c>
      <c r="J203" s="4">
        <v>1</v>
      </c>
      <c r="K203" s="9">
        <v>8.99</v>
      </c>
      <c r="L203" s="9">
        <v>8.99</v>
      </c>
      <c r="M203" s="4" t="s">
        <v>2145</v>
      </c>
      <c r="N203" s="4" t="s">
        <v>2804</v>
      </c>
      <c r="O203" s="4" t="s">
        <v>2519</v>
      </c>
      <c r="P203" s="4" t="s">
        <v>2499</v>
      </c>
      <c r="Q203" s="4" t="s">
        <v>2500</v>
      </c>
      <c r="R203" s="4"/>
      <c r="S203" s="4"/>
      <c r="T203" s="4" t="str">
        <f>HYPERLINK("http://slimages.macys.com/is/image/MCY/19503985 ")</f>
        <v xml:space="preserve">http://slimages.macys.com/is/image/MCY/19503985 </v>
      </c>
    </row>
    <row r="204" spans="1:20" ht="15" customHeight="1" x14ac:dyDescent="0.25">
      <c r="A204" s="4" t="s">
        <v>2489</v>
      </c>
      <c r="B204" s="2" t="s">
        <v>2487</v>
      </c>
      <c r="C204" s="2" t="s">
        <v>2488</v>
      </c>
      <c r="D204" s="5" t="s">
        <v>2490</v>
      </c>
      <c r="E204" s="4" t="s">
        <v>2491</v>
      </c>
      <c r="F204" s="6">
        <v>14278836</v>
      </c>
      <c r="G204" s="3">
        <v>14278836</v>
      </c>
      <c r="H204" s="7">
        <v>677838700701</v>
      </c>
      <c r="I204" s="8" t="s">
        <v>2385</v>
      </c>
      <c r="J204" s="4">
        <v>2</v>
      </c>
      <c r="K204" s="9">
        <v>75</v>
      </c>
      <c r="L204" s="9">
        <v>150</v>
      </c>
      <c r="M204" s="4" t="s">
        <v>2386</v>
      </c>
      <c r="N204" s="4"/>
      <c r="O204" s="4" t="s">
        <v>2555</v>
      </c>
      <c r="P204" s="4" t="s">
        <v>2499</v>
      </c>
      <c r="Q204" s="4" t="s">
        <v>2752</v>
      </c>
      <c r="R204" s="4"/>
      <c r="S204" s="4"/>
      <c r="T204" s="4" t="str">
        <f>HYPERLINK("http://slimages.macys.com/is/image/MCY/20532465 ")</f>
        <v xml:space="preserve">http://slimages.macys.com/is/image/MCY/20532465 </v>
      </c>
    </row>
    <row r="205" spans="1:20" ht="15" customHeight="1" x14ac:dyDescent="0.25">
      <c r="A205" s="4" t="s">
        <v>2489</v>
      </c>
      <c r="B205" s="2" t="s">
        <v>2487</v>
      </c>
      <c r="C205" s="2" t="s">
        <v>2488</v>
      </c>
      <c r="D205" s="5" t="s">
        <v>2490</v>
      </c>
      <c r="E205" s="4" t="s">
        <v>2491</v>
      </c>
      <c r="F205" s="6">
        <v>14278836</v>
      </c>
      <c r="G205" s="3">
        <v>14278836</v>
      </c>
      <c r="H205" s="7">
        <v>194257610881</v>
      </c>
      <c r="I205" s="8" t="s">
        <v>2387</v>
      </c>
      <c r="J205" s="4">
        <v>1</v>
      </c>
      <c r="K205" s="9">
        <v>16.989999999999998</v>
      </c>
      <c r="L205" s="9">
        <v>16.989999999999998</v>
      </c>
      <c r="M205" s="4" t="s">
        <v>2693</v>
      </c>
      <c r="N205" s="4" t="s">
        <v>2685</v>
      </c>
      <c r="O205" s="4" t="s">
        <v>2532</v>
      </c>
      <c r="P205" s="4" t="s">
        <v>2499</v>
      </c>
      <c r="Q205" s="4" t="s">
        <v>2500</v>
      </c>
      <c r="R205" s="4"/>
      <c r="S205" s="4"/>
      <c r="T205" s="4" t="str">
        <f>HYPERLINK("http://slimages.macys.com/is/image/MCY/19513585 ")</f>
        <v xml:space="preserve">http://slimages.macys.com/is/image/MCY/19513585 </v>
      </c>
    </row>
    <row r="206" spans="1:20" ht="15" customHeight="1" x14ac:dyDescent="0.25">
      <c r="A206" s="4" t="s">
        <v>2489</v>
      </c>
      <c r="B206" s="2" t="s">
        <v>2487</v>
      </c>
      <c r="C206" s="2" t="s">
        <v>2488</v>
      </c>
      <c r="D206" s="5" t="s">
        <v>2490</v>
      </c>
      <c r="E206" s="4" t="s">
        <v>2491</v>
      </c>
      <c r="F206" s="6">
        <v>14278836</v>
      </c>
      <c r="G206" s="3">
        <v>14278836</v>
      </c>
      <c r="H206" s="7">
        <v>194931206096</v>
      </c>
      <c r="I206" s="8" t="s">
        <v>2388</v>
      </c>
      <c r="J206" s="4">
        <v>1</v>
      </c>
      <c r="K206" s="9">
        <v>27.24</v>
      </c>
      <c r="L206" s="9">
        <v>27.24</v>
      </c>
      <c r="M206" s="4" t="s">
        <v>2761</v>
      </c>
      <c r="N206" s="4" t="s">
        <v>2762</v>
      </c>
      <c r="O206" s="4" t="s">
        <v>2861</v>
      </c>
      <c r="P206" s="4" t="s">
        <v>2655</v>
      </c>
      <c r="Q206" s="4" t="s">
        <v>2643</v>
      </c>
      <c r="R206" s="4"/>
      <c r="S206" s="4"/>
      <c r="T206" s="4" t="str">
        <f>HYPERLINK("http://slimages.macys.com/is/image/MCY/19882882 ")</f>
        <v xml:space="preserve">http://slimages.macys.com/is/image/MCY/19882882 </v>
      </c>
    </row>
    <row r="207" spans="1:20" ht="15" customHeight="1" x14ac:dyDescent="0.25">
      <c r="A207" s="4" t="s">
        <v>2489</v>
      </c>
      <c r="B207" s="2" t="s">
        <v>2487</v>
      </c>
      <c r="C207" s="2" t="s">
        <v>2488</v>
      </c>
      <c r="D207" s="5" t="s">
        <v>2490</v>
      </c>
      <c r="E207" s="4" t="s">
        <v>2491</v>
      </c>
      <c r="F207" s="6">
        <v>14278836</v>
      </c>
      <c r="G207" s="3">
        <v>14278836</v>
      </c>
      <c r="H207" s="7">
        <v>192401257593</v>
      </c>
      <c r="I207" s="8" t="s">
        <v>3057</v>
      </c>
      <c r="J207" s="4">
        <v>5</v>
      </c>
      <c r="K207" s="9">
        <v>22.99</v>
      </c>
      <c r="L207" s="9">
        <v>114.95</v>
      </c>
      <c r="M207" s="4" t="s">
        <v>3058</v>
      </c>
      <c r="N207" s="4" t="s">
        <v>2676</v>
      </c>
      <c r="O207" s="4" t="s">
        <v>2555</v>
      </c>
      <c r="P207" s="4" t="s">
        <v>2556</v>
      </c>
      <c r="Q207" s="4" t="s">
        <v>2882</v>
      </c>
      <c r="R207" s="4"/>
      <c r="S207" s="4"/>
      <c r="T207" s="4" t="str">
        <f>HYPERLINK("http://slimages.macys.com/is/image/MCY/18144734 ")</f>
        <v xml:space="preserve">http://slimages.macys.com/is/image/MCY/18144734 </v>
      </c>
    </row>
    <row r="208" spans="1:20" ht="15" customHeight="1" x14ac:dyDescent="0.25">
      <c r="A208" s="4" t="s">
        <v>2489</v>
      </c>
      <c r="B208" s="2" t="s">
        <v>2487</v>
      </c>
      <c r="C208" s="2" t="s">
        <v>2488</v>
      </c>
      <c r="D208" s="5" t="s">
        <v>2490</v>
      </c>
      <c r="E208" s="4" t="s">
        <v>2491</v>
      </c>
      <c r="F208" s="6">
        <v>14278836</v>
      </c>
      <c r="G208" s="3">
        <v>14278836</v>
      </c>
      <c r="H208" s="7">
        <v>194257392350</v>
      </c>
      <c r="I208" s="8" t="s">
        <v>2389</v>
      </c>
      <c r="J208" s="4">
        <v>12</v>
      </c>
      <c r="K208" s="9">
        <v>16.989999999999998</v>
      </c>
      <c r="L208" s="9">
        <v>203.88</v>
      </c>
      <c r="M208" s="4" t="s">
        <v>2693</v>
      </c>
      <c r="N208" s="4" t="s">
        <v>2505</v>
      </c>
      <c r="O208" s="4" t="s">
        <v>2498</v>
      </c>
      <c r="P208" s="4" t="s">
        <v>2499</v>
      </c>
      <c r="Q208" s="4" t="s">
        <v>2500</v>
      </c>
      <c r="R208" s="4"/>
      <c r="S208" s="4"/>
      <c r="T208" s="4" t="str">
        <f>HYPERLINK("http://slimages.macys.com/is/image/MCY/19513585 ")</f>
        <v xml:space="preserve">http://slimages.macys.com/is/image/MCY/19513585 </v>
      </c>
    </row>
    <row r="209" spans="1:20" ht="15" customHeight="1" x14ac:dyDescent="0.25">
      <c r="A209" s="4" t="s">
        <v>2489</v>
      </c>
      <c r="B209" s="2" t="s">
        <v>2487</v>
      </c>
      <c r="C209" s="2" t="s">
        <v>2488</v>
      </c>
      <c r="D209" s="5" t="s">
        <v>2490</v>
      </c>
      <c r="E209" s="4" t="s">
        <v>2491</v>
      </c>
      <c r="F209" s="6">
        <v>14278836</v>
      </c>
      <c r="G209" s="3">
        <v>14278836</v>
      </c>
      <c r="H209" s="7">
        <v>194257392336</v>
      </c>
      <c r="I209" s="8" t="s">
        <v>2390</v>
      </c>
      <c r="J209" s="4">
        <v>6</v>
      </c>
      <c r="K209" s="9">
        <v>16.989999999999998</v>
      </c>
      <c r="L209" s="9">
        <v>101.94</v>
      </c>
      <c r="M209" s="4" t="s">
        <v>2693</v>
      </c>
      <c r="N209" s="4" t="s">
        <v>2505</v>
      </c>
      <c r="O209" s="4" t="s">
        <v>2519</v>
      </c>
      <c r="P209" s="4" t="s">
        <v>2499</v>
      </c>
      <c r="Q209" s="4" t="s">
        <v>2500</v>
      </c>
      <c r="R209" s="4"/>
      <c r="S209" s="4"/>
      <c r="T209" s="4" t="str">
        <f>HYPERLINK("http://slimages.macys.com/is/image/MCY/19513585 ")</f>
        <v xml:space="preserve">http://slimages.macys.com/is/image/MCY/19513585 </v>
      </c>
    </row>
    <row r="210" spans="1:20" ht="15" customHeight="1" x14ac:dyDescent="0.25">
      <c r="A210" s="4" t="s">
        <v>2489</v>
      </c>
      <c r="B210" s="2" t="s">
        <v>2487</v>
      </c>
      <c r="C210" s="2" t="s">
        <v>2488</v>
      </c>
      <c r="D210" s="5" t="s">
        <v>2490</v>
      </c>
      <c r="E210" s="4" t="s">
        <v>2491</v>
      </c>
      <c r="F210" s="6">
        <v>14278836</v>
      </c>
      <c r="G210" s="3">
        <v>14278836</v>
      </c>
      <c r="H210" s="7">
        <v>195958067660</v>
      </c>
      <c r="I210" s="8" t="s">
        <v>2391</v>
      </c>
      <c r="J210" s="4">
        <v>1</v>
      </c>
      <c r="K210" s="9">
        <v>19.989999999999998</v>
      </c>
      <c r="L210" s="9">
        <v>19.989999999999998</v>
      </c>
      <c r="M210" s="4" t="s">
        <v>2392</v>
      </c>
      <c r="N210" s="4" t="s">
        <v>2544</v>
      </c>
      <c r="O210" s="4" t="s">
        <v>2502</v>
      </c>
      <c r="P210" s="4" t="s">
        <v>2562</v>
      </c>
      <c r="Q210" s="4" t="s">
        <v>2951</v>
      </c>
      <c r="R210" s="4"/>
      <c r="S210" s="4"/>
      <c r="T210" s="4" t="str">
        <f>HYPERLINK("http://slimages.macys.com/is/image/MCY/19831836 ")</f>
        <v xml:space="preserve">http://slimages.macys.com/is/image/MCY/19831836 </v>
      </c>
    </row>
    <row r="211" spans="1:20" ht="15" customHeight="1" x14ac:dyDescent="0.25">
      <c r="A211" s="4" t="s">
        <v>2489</v>
      </c>
      <c r="B211" s="2" t="s">
        <v>2487</v>
      </c>
      <c r="C211" s="2" t="s">
        <v>2488</v>
      </c>
      <c r="D211" s="5" t="s">
        <v>2490</v>
      </c>
      <c r="E211" s="4" t="s">
        <v>2491</v>
      </c>
      <c r="F211" s="6">
        <v>14278836</v>
      </c>
      <c r="G211" s="3">
        <v>14278836</v>
      </c>
      <c r="H211" s="7">
        <v>733003643584</v>
      </c>
      <c r="I211" s="8" t="s">
        <v>2983</v>
      </c>
      <c r="J211" s="4">
        <v>1</v>
      </c>
      <c r="K211" s="9">
        <v>18.989999999999998</v>
      </c>
      <c r="L211" s="9">
        <v>18.989999999999998</v>
      </c>
      <c r="M211" s="4" t="s">
        <v>2984</v>
      </c>
      <c r="N211" s="4" t="s">
        <v>2567</v>
      </c>
      <c r="O211" s="4">
        <v>5</v>
      </c>
      <c r="P211" s="4" t="s">
        <v>2515</v>
      </c>
      <c r="Q211" s="4" t="s">
        <v>2972</v>
      </c>
      <c r="R211" s="4"/>
      <c r="S211" s="4"/>
      <c r="T211" s="4" t="str">
        <f>HYPERLINK("http://slimages.macys.com/is/image/MCY/20008203 ")</f>
        <v xml:space="preserve">http://slimages.macys.com/is/image/MCY/20008203 </v>
      </c>
    </row>
    <row r="212" spans="1:20" ht="15" customHeight="1" x14ac:dyDescent="0.25">
      <c r="A212" s="4" t="s">
        <v>2489</v>
      </c>
      <c r="B212" s="2" t="s">
        <v>2487</v>
      </c>
      <c r="C212" s="2" t="s">
        <v>2488</v>
      </c>
      <c r="D212" s="5" t="s">
        <v>2490</v>
      </c>
      <c r="E212" s="4" t="s">
        <v>2491</v>
      </c>
      <c r="F212" s="6">
        <v>14278836</v>
      </c>
      <c r="G212" s="3">
        <v>14278836</v>
      </c>
      <c r="H212" s="7">
        <v>762120162357</v>
      </c>
      <c r="I212" s="8" t="s">
        <v>1824</v>
      </c>
      <c r="J212" s="4">
        <v>2</v>
      </c>
      <c r="K212" s="9">
        <v>11.99</v>
      </c>
      <c r="L212" s="9">
        <v>23.98</v>
      </c>
      <c r="M212" s="4" t="s">
        <v>2631</v>
      </c>
      <c r="N212" s="4" t="s">
        <v>2632</v>
      </c>
      <c r="O212" s="4" t="s">
        <v>2650</v>
      </c>
      <c r="P212" s="4" t="s">
        <v>2602</v>
      </c>
      <c r="Q212" s="4" t="s">
        <v>2528</v>
      </c>
      <c r="R212" s="4"/>
      <c r="S212" s="4"/>
      <c r="T212" s="4" t="str">
        <f>HYPERLINK("http://slimages.macys.com/is/image/MCY/20819683 ")</f>
        <v xml:space="preserve">http://slimages.macys.com/is/image/MCY/20819683 </v>
      </c>
    </row>
    <row r="213" spans="1:20" ht="15" customHeight="1" x14ac:dyDescent="0.25">
      <c r="A213" s="4" t="s">
        <v>2489</v>
      </c>
      <c r="B213" s="2" t="s">
        <v>2487</v>
      </c>
      <c r="C213" s="2" t="s">
        <v>2488</v>
      </c>
      <c r="D213" s="5" t="s">
        <v>2490</v>
      </c>
      <c r="E213" s="4" t="s">
        <v>2491</v>
      </c>
      <c r="F213" s="6">
        <v>14278836</v>
      </c>
      <c r="G213" s="3">
        <v>14278836</v>
      </c>
      <c r="H213" s="7">
        <v>194257533371</v>
      </c>
      <c r="I213" s="8" t="s">
        <v>2393</v>
      </c>
      <c r="J213" s="4">
        <v>1</v>
      </c>
      <c r="K213" s="9">
        <v>7.99</v>
      </c>
      <c r="L213" s="9">
        <v>7.99</v>
      </c>
      <c r="M213" s="4" t="s">
        <v>2394</v>
      </c>
      <c r="N213" s="4" t="s">
        <v>2505</v>
      </c>
      <c r="O213" s="4" t="s">
        <v>2519</v>
      </c>
      <c r="P213" s="4" t="s">
        <v>2499</v>
      </c>
      <c r="Q213" s="4" t="s">
        <v>2500</v>
      </c>
      <c r="R213" s="4"/>
      <c r="S213" s="4"/>
      <c r="T213" s="4" t="str">
        <f>HYPERLINK("http://slimages.macys.com/is/image/MCY/19701679 ")</f>
        <v xml:space="preserve">http://slimages.macys.com/is/image/MCY/19701679 </v>
      </c>
    </row>
    <row r="214" spans="1:20" ht="15" customHeight="1" x14ac:dyDescent="0.25">
      <c r="A214" s="4" t="s">
        <v>2489</v>
      </c>
      <c r="B214" s="2" t="s">
        <v>2487</v>
      </c>
      <c r="C214" s="2" t="s">
        <v>2488</v>
      </c>
      <c r="D214" s="5" t="s">
        <v>2490</v>
      </c>
      <c r="E214" s="4" t="s">
        <v>2491</v>
      </c>
      <c r="F214" s="6">
        <v>14278836</v>
      </c>
      <c r="G214" s="3">
        <v>14278836</v>
      </c>
      <c r="H214" s="7">
        <v>762120689311</v>
      </c>
      <c r="I214" s="8" t="s">
        <v>2395</v>
      </c>
      <c r="J214" s="4">
        <v>2</v>
      </c>
      <c r="K214" s="9">
        <v>16.989999999999998</v>
      </c>
      <c r="L214" s="9">
        <v>33.979999999999997</v>
      </c>
      <c r="M214" s="4" t="s">
        <v>3031</v>
      </c>
      <c r="N214" s="4" t="s">
        <v>2518</v>
      </c>
      <c r="O214" s="4" t="s">
        <v>2555</v>
      </c>
      <c r="P214" s="4" t="s">
        <v>2515</v>
      </c>
      <c r="Q214" s="4" t="s">
        <v>2672</v>
      </c>
      <c r="R214" s="4"/>
      <c r="S214" s="4"/>
      <c r="T214" s="4" t="str">
        <f>HYPERLINK("http://slimages.macys.com/is/image/MCY/20549489 ")</f>
        <v xml:space="preserve">http://slimages.macys.com/is/image/MCY/20549489 </v>
      </c>
    </row>
    <row r="215" spans="1:20" ht="15" customHeight="1" x14ac:dyDescent="0.25">
      <c r="A215" s="4" t="s">
        <v>2489</v>
      </c>
      <c r="B215" s="2" t="s">
        <v>2487</v>
      </c>
      <c r="C215" s="2" t="s">
        <v>2488</v>
      </c>
      <c r="D215" s="5" t="s">
        <v>2490</v>
      </c>
      <c r="E215" s="4" t="s">
        <v>2491</v>
      </c>
      <c r="F215" s="6">
        <v>14278836</v>
      </c>
      <c r="G215" s="3">
        <v>14278836</v>
      </c>
      <c r="H215" s="7">
        <v>194257392244</v>
      </c>
      <c r="I215" s="8" t="s">
        <v>2396</v>
      </c>
      <c r="J215" s="4">
        <v>4</v>
      </c>
      <c r="K215" s="9">
        <v>16.989999999999998</v>
      </c>
      <c r="L215" s="9">
        <v>67.959999999999994</v>
      </c>
      <c r="M215" s="4" t="s">
        <v>2693</v>
      </c>
      <c r="N215" s="4" t="s">
        <v>2531</v>
      </c>
      <c r="O215" s="4" t="s">
        <v>2519</v>
      </c>
      <c r="P215" s="4" t="s">
        <v>2499</v>
      </c>
      <c r="Q215" s="4" t="s">
        <v>2500</v>
      </c>
      <c r="R215" s="4"/>
      <c r="S215" s="4"/>
      <c r="T215" s="4" t="str">
        <f>HYPERLINK("http://slimages.macys.com/is/image/MCY/19513585 ")</f>
        <v xml:space="preserve">http://slimages.macys.com/is/image/MCY/19513585 </v>
      </c>
    </row>
    <row r="216" spans="1:20" ht="15" customHeight="1" x14ac:dyDescent="0.25">
      <c r="A216" s="4" t="s">
        <v>2489</v>
      </c>
      <c r="B216" s="2" t="s">
        <v>2487</v>
      </c>
      <c r="C216" s="2" t="s">
        <v>2488</v>
      </c>
      <c r="D216" s="5" t="s">
        <v>2490</v>
      </c>
      <c r="E216" s="4" t="s">
        <v>2491</v>
      </c>
      <c r="F216" s="6">
        <v>14278836</v>
      </c>
      <c r="G216" s="3">
        <v>14278836</v>
      </c>
      <c r="H216" s="7">
        <v>194753977280</v>
      </c>
      <c r="I216" s="8" t="s">
        <v>3006</v>
      </c>
      <c r="J216" s="4">
        <v>2</v>
      </c>
      <c r="K216" s="9">
        <v>59.5</v>
      </c>
      <c r="L216" s="9">
        <v>119</v>
      </c>
      <c r="M216" s="4" t="s">
        <v>3007</v>
      </c>
      <c r="N216" s="4" t="s">
        <v>2565</v>
      </c>
      <c r="O216" s="4"/>
      <c r="P216" s="4" t="s">
        <v>2556</v>
      </c>
      <c r="Q216" s="4" t="s">
        <v>2946</v>
      </c>
      <c r="R216" s="4"/>
      <c r="S216" s="4"/>
      <c r="T216" s="4" t="str">
        <f>HYPERLINK("http://slimages.macys.com/is/image/MCY/20719902 ")</f>
        <v xml:space="preserve">http://slimages.macys.com/is/image/MCY/20719902 </v>
      </c>
    </row>
    <row r="217" spans="1:20" ht="15" customHeight="1" x14ac:dyDescent="0.25">
      <c r="A217" s="4" t="s">
        <v>2489</v>
      </c>
      <c r="B217" s="2" t="s">
        <v>2487</v>
      </c>
      <c r="C217" s="2" t="s">
        <v>2488</v>
      </c>
      <c r="D217" s="5" t="s">
        <v>2490</v>
      </c>
      <c r="E217" s="4" t="s">
        <v>2491</v>
      </c>
      <c r="F217" s="6">
        <v>14278836</v>
      </c>
      <c r="G217" s="3">
        <v>14278836</v>
      </c>
      <c r="H217" s="7">
        <v>733001487319</v>
      </c>
      <c r="I217" s="8" t="s">
        <v>2815</v>
      </c>
      <c r="J217" s="4">
        <v>1</v>
      </c>
      <c r="K217" s="9">
        <v>6.99</v>
      </c>
      <c r="L217" s="9">
        <v>6.99</v>
      </c>
      <c r="M217" s="4">
        <v>10010376300</v>
      </c>
      <c r="N217" s="4" t="s">
        <v>2600</v>
      </c>
      <c r="O217" s="4" t="s">
        <v>2816</v>
      </c>
      <c r="P217" s="4" t="s">
        <v>2503</v>
      </c>
      <c r="Q217" s="4" t="s">
        <v>2504</v>
      </c>
      <c r="R217" s="4"/>
      <c r="S217" s="4"/>
      <c r="T217" s="4" t="str">
        <f>HYPERLINK("http://slimages.macys.com/is/image/MCY/17586321 ")</f>
        <v xml:space="preserve">http://slimages.macys.com/is/image/MCY/17586321 </v>
      </c>
    </row>
    <row r="218" spans="1:20" ht="15" customHeight="1" x14ac:dyDescent="0.25">
      <c r="A218" s="4" t="s">
        <v>2489</v>
      </c>
      <c r="B218" s="2" t="s">
        <v>2487</v>
      </c>
      <c r="C218" s="2" t="s">
        <v>2488</v>
      </c>
      <c r="D218" s="5" t="s">
        <v>2490</v>
      </c>
      <c r="E218" s="4" t="s">
        <v>2491</v>
      </c>
      <c r="F218" s="6">
        <v>14278836</v>
      </c>
      <c r="G218" s="3">
        <v>14278836</v>
      </c>
      <c r="H218" s="7">
        <v>733004723087</v>
      </c>
      <c r="I218" s="8" t="s">
        <v>2397</v>
      </c>
      <c r="J218" s="4">
        <v>1</v>
      </c>
      <c r="K218" s="9">
        <v>25.99</v>
      </c>
      <c r="L218" s="9">
        <v>25.99</v>
      </c>
      <c r="M218" s="4" t="s">
        <v>3178</v>
      </c>
      <c r="N218" s="4" t="s">
        <v>2518</v>
      </c>
      <c r="O218" s="4" t="s">
        <v>2601</v>
      </c>
      <c r="P218" s="4" t="s">
        <v>2503</v>
      </c>
      <c r="Q218" s="4" t="s">
        <v>2504</v>
      </c>
      <c r="R218" s="4"/>
      <c r="S218" s="4"/>
      <c r="T218" s="4" t="str">
        <f>HYPERLINK("http://slimages.macys.com/is/image/MCY/1041651 ")</f>
        <v xml:space="preserve">http://slimages.macys.com/is/image/MCY/1041651 </v>
      </c>
    </row>
    <row r="219" spans="1:20" ht="15" customHeight="1" x14ac:dyDescent="0.25">
      <c r="A219" s="4" t="s">
        <v>2489</v>
      </c>
      <c r="B219" s="2" t="s">
        <v>2487</v>
      </c>
      <c r="C219" s="2" t="s">
        <v>2488</v>
      </c>
      <c r="D219" s="5" t="s">
        <v>2490</v>
      </c>
      <c r="E219" s="4" t="s">
        <v>2491</v>
      </c>
      <c r="F219" s="6">
        <v>14278836</v>
      </c>
      <c r="G219" s="3">
        <v>14278836</v>
      </c>
      <c r="H219" s="7">
        <v>762120016162</v>
      </c>
      <c r="I219" s="8" t="s">
        <v>2398</v>
      </c>
      <c r="J219" s="4">
        <v>2</v>
      </c>
      <c r="K219" s="9">
        <v>11.99</v>
      </c>
      <c r="L219" s="9">
        <v>23.98</v>
      </c>
      <c r="M219" s="4" t="s">
        <v>2156</v>
      </c>
      <c r="N219" s="4" t="s">
        <v>2567</v>
      </c>
      <c r="O219" s="4" t="s">
        <v>2555</v>
      </c>
      <c r="P219" s="4" t="s">
        <v>2520</v>
      </c>
      <c r="Q219" s="4" t="s">
        <v>2521</v>
      </c>
      <c r="R219" s="4"/>
      <c r="S219" s="4"/>
      <c r="T219" s="4" t="str">
        <f>HYPERLINK("http://slimages.macys.com/is/image/MCY/20673069 ")</f>
        <v xml:space="preserve">http://slimages.macys.com/is/image/MCY/20673069 </v>
      </c>
    </row>
    <row r="220" spans="1:20" ht="15" customHeight="1" x14ac:dyDescent="0.25">
      <c r="A220" s="4" t="s">
        <v>2489</v>
      </c>
      <c r="B220" s="2" t="s">
        <v>2487</v>
      </c>
      <c r="C220" s="2" t="s">
        <v>2488</v>
      </c>
      <c r="D220" s="5" t="s">
        <v>2490</v>
      </c>
      <c r="E220" s="4" t="s">
        <v>2491</v>
      </c>
      <c r="F220" s="6">
        <v>14278836</v>
      </c>
      <c r="G220" s="3">
        <v>14278836</v>
      </c>
      <c r="H220" s="7">
        <v>194135419995</v>
      </c>
      <c r="I220" s="8" t="s">
        <v>2399</v>
      </c>
      <c r="J220" s="4">
        <v>1</v>
      </c>
      <c r="K220" s="9">
        <v>12.71</v>
      </c>
      <c r="L220" s="9">
        <v>12.71</v>
      </c>
      <c r="M220" s="4" t="s">
        <v>2206</v>
      </c>
      <c r="N220" s="4"/>
      <c r="O220" s="4" t="s">
        <v>2587</v>
      </c>
      <c r="P220" s="4" t="s">
        <v>2657</v>
      </c>
      <c r="Q220" s="4" t="s">
        <v>2716</v>
      </c>
      <c r="R220" s="4"/>
      <c r="S220" s="4"/>
      <c r="T220" s="4" t="str">
        <f>HYPERLINK("http://slimages.macys.com/is/image/MCY/19917050 ")</f>
        <v xml:space="preserve">http://slimages.macys.com/is/image/MCY/19917050 </v>
      </c>
    </row>
    <row r="221" spans="1:20" ht="15" customHeight="1" x14ac:dyDescent="0.25">
      <c r="A221" s="4" t="s">
        <v>2489</v>
      </c>
      <c r="B221" s="2" t="s">
        <v>2487</v>
      </c>
      <c r="C221" s="2" t="s">
        <v>2488</v>
      </c>
      <c r="D221" s="5" t="s">
        <v>2490</v>
      </c>
      <c r="E221" s="4" t="s">
        <v>2491</v>
      </c>
      <c r="F221" s="6">
        <v>14278836</v>
      </c>
      <c r="G221" s="3">
        <v>14278836</v>
      </c>
      <c r="H221" s="7">
        <v>194135491311</v>
      </c>
      <c r="I221" s="8" t="s">
        <v>2400</v>
      </c>
      <c r="J221" s="4">
        <v>1</v>
      </c>
      <c r="K221" s="9">
        <v>11.1</v>
      </c>
      <c r="L221" s="9">
        <v>11.1</v>
      </c>
      <c r="M221" s="4" t="s">
        <v>2154</v>
      </c>
      <c r="N221" s="4"/>
      <c r="O221" s="4" t="s">
        <v>2705</v>
      </c>
      <c r="P221" s="4" t="s">
        <v>2657</v>
      </c>
      <c r="Q221" s="4" t="s">
        <v>2716</v>
      </c>
      <c r="R221" s="4"/>
      <c r="S221" s="4"/>
      <c r="T221" s="4" t="str">
        <f>HYPERLINK("http://slimages.macys.com/is/image/MCY/19917199 ")</f>
        <v xml:space="preserve">http://slimages.macys.com/is/image/MCY/19917199 </v>
      </c>
    </row>
    <row r="222" spans="1:20" ht="15" customHeight="1" x14ac:dyDescent="0.25">
      <c r="A222" s="4" t="s">
        <v>2489</v>
      </c>
      <c r="B222" s="2" t="s">
        <v>2487</v>
      </c>
      <c r="C222" s="2" t="s">
        <v>2488</v>
      </c>
      <c r="D222" s="5" t="s">
        <v>2490</v>
      </c>
      <c r="E222" s="4" t="s">
        <v>2491</v>
      </c>
      <c r="F222" s="6">
        <v>14278836</v>
      </c>
      <c r="G222" s="3">
        <v>14278836</v>
      </c>
      <c r="H222" s="7">
        <v>733003084394</v>
      </c>
      <c r="I222" s="8" t="s">
        <v>2401</v>
      </c>
      <c r="J222" s="4">
        <v>1</v>
      </c>
      <c r="K222" s="9">
        <v>13.99</v>
      </c>
      <c r="L222" s="9">
        <v>13.99</v>
      </c>
      <c r="M222" s="4" t="s">
        <v>2402</v>
      </c>
      <c r="N222" s="4" t="s">
        <v>2567</v>
      </c>
      <c r="O222" s="4"/>
      <c r="P222" s="4" t="s">
        <v>2515</v>
      </c>
      <c r="Q222" s="4" t="s">
        <v>2672</v>
      </c>
      <c r="R222" s="4"/>
      <c r="S222" s="4"/>
      <c r="T222" s="4" t="str">
        <f>HYPERLINK("http://slimages.macys.com/is/image/MCY/19973403 ")</f>
        <v xml:space="preserve">http://slimages.macys.com/is/image/MCY/19973403 </v>
      </c>
    </row>
    <row r="223" spans="1:20" ht="15" customHeight="1" x14ac:dyDescent="0.25">
      <c r="A223" s="4" t="s">
        <v>2489</v>
      </c>
      <c r="B223" s="2" t="s">
        <v>2487</v>
      </c>
      <c r="C223" s="2" t="s">
        <v>2488</v>
      </c>
      <c r="D223" s="5" t="s">
        <v>2490</v>
      </c>
      <c r="E223" s="4" t="s">
        <v>2491</v>
      </c>
      <c r="F223" s="6">
        <v>14278836</v>
      </c>
      <c r="G223" s="3">
        <v>14278836</v>
      </c>
      <c r="H223" s="7">
        <v>762120016179</v>
      </c>
      <c r="I223" s="8" t="s">
        <v>2403</v>
      </c>
      <c r="J223" s="4">
        <v>2</v>
      </c>
      <c r="K223" s="9">
        <v>11.99</v>
      </c>
      <c r="L223" s="9">
        <v>23.98</v>
      </c>
      <c r="M223" s="4" t="s">
        <v>2156</v>
      </c>
      <c r="N223" s="4" t="s">
        <v>2567</v>
      </c>
      <c r="O223" s="4" t="s">
        <v>2498</v>
      </c>
      <c r="P223" s="4" t="s">
        <v>2520</v>
      </c>
      <c r="Q223" s="4" t="s">
        <v>2521</v>
      </c>
      <c r="R223" s="4"/>
      <c r="S223" s="4"/>
      <c r="T223" s="4" t="str">
        <f>HYPERLINK("http://slimages.macys.com/is/image/MCY/20673069 ")</f>
        <v xml:space="preserve">http://slimages.macys.com/is/image/MCY/20673069 </v>
      </c>
    </row>
    <row r="224" spans="1:20" ht="15" customHeight="1" x14ac:dyDescent="0.25">
      <c r="A224" s="4" t="s">
        <v>2489</v>
      </c>
      <c r="B224" s="2" t="s">
        <v>2487</v>
      </c>
      <c r="C224" s="2" t="s">
        <v>2488</v>
      </c>
      <c r="D224" s="5" t="s">
        <v>2490</v>
      </c>
      <c r="E224" s="4" t="s">
        <v>2491</v>
      </c>
      <c r="F224" s="6">
        <v>14278836</v>
      </c>
      <c r="G224" s="3">
        <v>14278836</v>
      </c>
      <c r="H224" s="7">
        <v>194170266233</v>
      </c>
      <c r="I224" s="8" t="s">
        <v>2404</v>
      </c>
      <c r="J224" s="4">
        <v>1</v>
      </c>
      <c r="K224" s="9">
        <v>34.99</v>
      </c>
      <c r="L224" s="9">
        <v>34.99</v>
      </c>
      <c r="M224" s="4" t="s">
        <v>2405</v>
      </c>
      <c r="N224" s="4" t="s">
        <v>2501</v>
      </c>
      <c r="O224" s="4" t="s">
        <v>2587</v>
      </c>
      <c r="P224" s="4" t="s">
        <v>2956</v>
      </c>
      <c r="Q224" s="4" t="s">
        <v>2635</v>
      </c>
      <c r="R224" s="4"/>
      <c r="S224" s="4"/>
      <c r="T224" s="4" t="str">
        <f>HYPERLINK("http://slimages.macys.com/is/image/MCY/19901611 ")</f>
        <v xml:space="preserve">http://slimages.macys.com/is/image/MCY/19901611 </v>
      </c>
    </row>
    <row r="225" spans="1:20" ht="15" customHeight="1" x14ac:dyDescent="0.25">
      <c r="A225" s="4" t="s">
        <v>2489</v>
      </c>
      <c r="B225" s="2" t="s">
        <v>2487</v>
      </c>
      <c r="C225" s="2" t="s">
        <v>2488</v>
      </c>
      <c r="D225" s="5" t="s">
        <v>2490</v>
      </c>
      <c r="E225" s="4" t="s">
        <v>2491</v>
      </c>
      <c r="F225" s="6">
        <v>14278836</v>
      </c>
      <c r="G225" s="3">
        <v>14278836</v>
      </c>
      <c r="H225" s="7">
        <v>194135667341</v>
      </c>
      <c r="I225" s="8" t="s">
        <v>2406</v>
      </c>
      <c r="J225" s="4">
        <v>1</v>
      </c>
      <c r="K225" s="9">
        <v>17.32</v>
      </c>
      <c r="L225" s="9">
        <v>17.32</v>
      </c>
      <c r="M225" s="4" t="s">
        <v>2407</v>
      </c>
      <c r="N225" s="4"/>
      <c r="O225" s="4"/>
      <c r="P225" s="4" t="s">
        <v>2657</v>
      </c>
      <c r="Q225" s="4" t="s">
        <v>2658</v>
      </c>
      <c r="R225" s="4"/>
      <c r="S225" s="4"/>
      <c r="T225" s="4" t="str">
        <f>HYPERLINK("http://slimages.macys.com/is/image/MCY/20193497 ")</f>
        <v xml:space="preserve">http://slimages.macys.com/is/image/MCY/20193497 </v>
      </c>
    </row>
    <row r="226" spans="1:20" ht="15" customHeight="1" x14ac:dyDescent="0.25">
      <c r="A226" s="4" t="s">
        <v>2489</v>
      </c>
      <c r="B226" s="2" t="s">
        <v>2487</v>
      </c>
      <c r="C226" s="2" t="s">
        <v>2488</v>
      </c>
      <c r="D226" s="5" t="s">
        <v>2490</v>
      </c>
      <c r="E226" s="4" t="s">
        <v>2491</v>
      </c>
      <c r="F226" s="6">
        <v>14278836</v>
      </c>
      <c r="G226" s="3">
        <v>14278836</v>
      </c>
      <c r="H226" s="7">
        <v>195958060104</v>
      </c>
      <c r="I226" s="8" t="s">
        <v>2408</v>
      </c>
      <c r="J226" s="4">
        <v>2</v>
      </c>
      <c r="K226" s="9">
        <v>24.99</v>
      </c>
      <c r="L226" s="9">
        <v>49.98</v>
      </c>
      <c r="M226" s="4" t="s">
        <v>2220</v>
      </c>
      <c r="N226" s="4" t="s">
        <v>2544</v>
      </c>
      <c r="O226" s="4">
        <v>6</v>
      </c>
      <c r="P226" s="4" t="s">
        <v>2536</v>
      </c>
      <c r="Q226" s="4" t="s">
        <v>2844</v>
      </c>
      <c r="R226" s="4"/>
      <c r="S226" s="4"/>
      <c r="T226" s="4" t="str">
        <f>HYPERLINK("http://slimages.macys.com/is/image/MCY/20577710 ")</f>
        <v xml:space="preserve">http://slimages.macys.com/is/image/MCY/20577710 </v>
      </c>
    </row>
    <row r="227" spans="1:20" ht="15" customHeight="1" x14ac:dyDescent="0.25">
      <c r="A227" s="4" t="s">
        <v>2489</v>
      </c>
      <c r="B227" s="2" t="s">
        <v>2487</v>
      </c>
      <c r="C227" s="2" t="s">
        <v>2488</v>
      </c>
      <c r="D227" s="5" t="s">
        <v>2490</v>
      </c>
      <c r="E227" s="4" t="s">
        <v>2491</v>
      </c>
      <c r="F227" s="6">
        <v>14278836</v>
      </c>
      <c r="G227" s="3">
        <v>14278836</v>
      </c>
      <c r="H227" s="7">
        <v>195958060111</v>
      </c>
      <c r="I227" s="8" t="s">
        <v>2409</v>
      </c>
      <c r="J227" s="4">
        <v>1</v>
      </c>
      <c r="K227" s="9">
        <v>24.99</v>
      </c>
      <c r="L227" s="9">
        <v>24.99</v>
      </c>
      <c r="M227" s="4" t="s">
        <v>2220</v>
      </c>
      <c r="N227" s="4" t="s">
        <v>2544</v>
      </c>
      <c r="O227" s="4" t="s">
        <v>2653</v>
      </c>
      <c r="P227" s="4" t="s">
        <v>2536</v>
      </c>
      <c r="Q227" s="4" t="s">
        <v>2844</v>
      </c>
      <c r="R227" s="4"/>
      <c r="S227" s="4"/>
      <c r="T227" s="4" t="str">
        <f>HYPERLINK("http://slimages.macys.com/is/image/MCY/20577710 ")</f>
        <v xml:space="preserve">http://slimages.macys.com/is/image/MCY/20577710 </v>
      </c>
    </row>
    <row r="228" spans="1:20" ht="15" customHeight="1" x14ac:dyDescent="0.25">
      <c r="A228" s="4" t="s">
        <v>2489</v>
      </c>
      <c r="B228" s="2" t="s">
        <v>2487</v>
      </c>
      <c r="C228" s="2" t="s">
        <v>2488</v>
      </c>
      <c r="D228" s="5" t="s">
        <v>2490</v>
      </c>
      <c r="E228" s="4" t="s">
        <v>2491</v>
      </c>
      <c r="F228" s="6">
        <v>14278836</v>
      </c>
      <c r="G228" s="3">
        <v>14278836</v>
      </c>
      <c r="H228" s="7">
        <v>194135519619</v>
      </c>
      <c r="I228" s="8" t="s">
        <v>2410</v>
      </c>
      <c r="J228" s="4">
        <v>1</v>
      </c>
      <c r="K228" s="9">
        <v>15.61</v>
      </c>
      <c r="L228" s="9">
        <v>15.61</v>
      </c>
      <c r="M228" s="4" t="s">
        <v>3443</v>
      </c>
      <c r="N228" s="4"/>
      <c r="O228" s="4" t="s">
        <v>2587</v>
      </c>
      <c r="P228" s="4" t="s">
        <v>2657</v>
      </c>
      <c r="Q228" s="4" t="s">
        <v>2658</v>
      </c>
      <c r="R228" s="4"/>
      <c r="S228" s="4"/>
      <c r="T228" s="4" t="str">
        <f>HYPERLINK("http://slimages.macys.com/is/image/MCY/19858248 ")</f>
        <v xml:space="preserve">http://slimages.macys.com/is/image/MCY/19858248 </v>
      </c>
    </row>
    <row r="229" spans="1:20" ht="15" customHeight="1" x14ac:dyDescent="0.25">
      <c r="A229" s="4" t="s">
        <v>2489</v>
      </c>
      <c r="B229" s="2" t="s">
        <v>2487</v>
      </c>
      <c r="C229" s="2" t="s">
        <v>2488</v>
      </c>
      <c r="D229" s="5" t="s">
        <v>2490</v>
      </c>
      <c r="E229" s="4" t="s">
        <v>2491</v>
      </c>
      <c r="F229" s="6">
        <v>14278836</v>
      </c>
      <c r="G229" s="3">
        <v>14278836</v>
      </c>
      <c r="H229" s="7">
        <v>195958060098</v>
      </c>
      <c r="I229" s="8" t="s">
        <v>2411</v>
      </c>
      <c r="J229" s="4">
        <v>2</v>
      </c>
      <c r="K229" s="9">
        <v>24.99</v>
      </c>
      <c r="L229" s="9">
        <v>49.98</v>
      </c>
      <c r="M229" s="4" t="s">
        <v>2220</v>
      </c>
      <c r="N229" s="4" t="s">
        <v>2544</v>
      </c>
      <c r="O229" s="4">
        <v>5</v>
      </c>
      <c r="P229" s="4" t="s">
        <v>2536</v>
      </c>
      <c r="Q229" s="4" t="s">
        <v>2844</v>
      </c>
      <c r="R229" s="4"/>
      <c r="S229" s="4"/>
      <c r="T229" s="4" t="str">
        <f>HYPERLINK("http://slimages.macys.com/is/image/MCY/20577710 ")</f>
        <v xml:space="preserve">http://slimages.macys.com/is/image/MCY/20577710 </v>
      </c>
    </row>
    <row r="230" spans="1:20" ht="15" customHeight="1" x14ac:dyDescent="0.25">
      <c r="A230" s="4" t="s">
        <v>2489</v>
      </c>
      <c r="B230" s="2" t="s">
        <v>2487</v>
      </c>
      <c r="C230" s="2" t="s">
        <v>2488</v>
      </c>
      <c r="D230" s="5" t="s">
        <v>2490</v>
      </c>
      <c r="E230" s="4" t="s">
        <v>2491</v>
      </c>
      <c r="F230" s="6">
        <v>14278836</v>
      </c>
      <c r="G230" s="3">
        <v>14278836</v>
      </c>
      <c r="H230" s="7">
        <v>195883343372</v>
      </c>
      <c r="I230" s="8" t="s">
        <v>2412</v>
      </c>
      <c r="J230" s="4">
        <v>1</v>
      </c>
      <c r="K230" s="9">
        <v>26.99</v>
      </c>
      <c r="L230" s="9">
        <v>26.99</v>
      </c>
      <c r="M230" s="4" t="s">
        <v>2413</v>
      </c>
      <c r="N230" s="4" t="s">
        <v>2664</v>
      </c>
      <c r="O230" s="4" t="s">
        <v>2519</v>
      </c>
      <c r="P230" s="4" t="s">
        <v>2556</v>
      </c>
      <c r="Q230" s="4" t="s">
        <v>2527</v>
      </c>
      <c r="R230" s="4"/>
      <c r="S230" s="4"/>
      <c r="T230" s="4" t="str">
        <f>HYPERLINK("http://slimages.macys.com/is/image/MCY/20200606 ")</f>
        <v xml:space="preserve">http://slimages.macys.com/is/image/MCY/20200606 </v>
      </c>
    </row>
    <row r="231" spans="1:20" ht="15" customHeight="1" x14ac:dyDescent="0.25">
      <c r="A231" s="4" t="s">
        <v>2489</v>
      </c>
      <c r="B231" s="2" t="s">
        <v>2487</v>
      </c>
      <c r="C231" s="2" t="s">
        <v>2488</v>
      </c>
      <c r="D231" s="5" t="s">
        <v>2490</v>
      </c>
      <c r="E231" s="4" t="s">
        <v>2491</v>
      </c>
      <c r="F231" s="6">
        <v>14278836</v>
      </c>
      <c r="G231" s="3">
        <v>14278836</v>
      </c>
      <c r="H231" s="7">
        <v>194257564986</v>
      </c>
      <c r="I231" s="8" t="s">
        <v>1806</v>
      </c>
      <c r="J231" s="4">
        <v>1</v>
      </c>
      <c r="K231" s="9">
        <v>14.99</v>
      </c>
      <c r="L231" s="9">
        <v>14.99</v>
      </c>
      <c r="M231" s="4" t="s">
        <v>3279</v>
      </c>
      <c r="N231" s="4" t="s">
        <v>2497</v>
      </c>
      <c r="O231" s="4" t="s">
        <v>2524</v>
      </c>
      <c r="P231" s="4" t="s">
        <v>2619</v>
      </c>
      <c r="Q231" s="4" t="s">
        <v>2654</v>
      </c>
      <c r="R231" s="4"/>
      <c r="S231" s="4"/>
      <c r="T231" s="4" t="str">
        <f>HYPERLINK("http://slimages.macys.com/is/image/MCY/19941193 ")</f>
        <v xml:space="preserve">http://slimages.macys.com/is/image/MCY/19941193 </v>
      </c>
    </row>
    <row r="232" spans="1:20" ht="15" customHeight="1" x14ac:dyDescent="0.25">
      <c r="A232" s="4" t="s">
        <v>2489</v>
      </c>
      <c r="B232" s="2" t="s">
        <v>2487</v>
      </c>
      <c r="C232" s="2" t="s">
        <v>2488</v>
      </c>
      <c r="D232" s="5" t="s">
        <v>2490</v>
      </c>
      <c r="E232" s="4" t="s">
        <v>2491</v>
      </c>
      <c r="F232" s="6">
        <v>14278836</v>
      </c>
      <c r="G232" s="3">
        <v>14278836</v>
      </c>
      <c r="H232" s="7">
        <v>794434360648</v>
      </c>
      <c r="I232" s="8" t="s">
        <v>2414</v>
      </c>
      <c r="J232" s="4">
        <v>7</v>
      </c>
      <c r="K232" s="9">
        <v>12.99</v>
      </c>
      <c r="L232" s="9">
        <v>90.93</v>
      </c>
      <c r="M232" s="4" t="s">
        <v>2415</v>
      </c>
      <c r="N232" s="4" t="s">
        <v>2501</v>
      </c>
      <c r="O232" s="4"/>
      <c r="P232" s="4" t="s">
        <v>2539</v>
      </c>
      <c r="Q232" s="4" t="s">
        <v>2416</v>
      </c>
      <c r="R232" s="4"/>
      <c r="S232" s="4"/>
      <c r="T232" s="4" t="str">
        <f>HYPERLINK("http://slimages.macys.com/is/image/MCY/19971452 ")</f>
        <v xml:space="preserve">http://slimages.macys.com/is/image/MCY/19971452 </v>
      </c>
    </row>
    <row r="233" spans="1:20" ht="15" customHeight="1" x14ac:dyDescent="0.25">
      <c r="A233" s="4" t="s">
        <v>2489</v>
      </c>
      <c r="B233" s="2" t="s">
        <v>2487</v>
      </c>
      <c r="C233" s="2" t="s">
        <v>2488</v>
      </c>
      <c r="D233" s="5" t="s">
        <v>2490</v>
      </c>
      <c r="E233" s="4" t="s">
        <v>2491</v>
      </c>
      <c r="F233" s="6">
        <v>14278836</v>
      </c>
      <c r="G233" s="3">
        <v>14278836</v>
      </c>
      <c r="H233" s="7">
        <v>733004748592</v>
      </c>
      <c r="I233" s="8" t="s">
        <v>2417</v>
      </c>
      <c r="J233" s="4">
        <v>4</v>
      </c>
      <c r="K233" s="9">
        <v>7.99</v>
      </c>
      <c r="L233" s="9">
        <v>31.96</v>
      </c>
      <c r="M233" s="4" t="s">
        <v>3352</v>
      </c>
      <c r="N233" s="4" t="s">
        <v>2505</v>
      </c>
      <c r="O233" s="4" t="s">
        <v>2628</v>
      </c>
      <c r="P233" s="4" t="s">
        <v>2503</v>
      </c>
      <c r="Q233" s="4" t="s">
        <v>2504</v>
      </c>
      <c r="R233" s="4"/>
      <c r="S233" s="4"/>
      <c r="T233" s="4" t="str">
        <f>HYPERLINK("http://slimages.macys.com/is/image/MCY/19977855 ")</f>
        <v xml:space="preserve">http://slimages.macys.com/is/image/MCY/19977855 </v>
      </c>
    </row>
    <row r="234" spans="1:20" ht="15" customHeight="1" x14ac:dyDescent="0.25">
      <c r="A234" s="4" t="s">
        <v>2489</v>
      </c>
      <c r="B234" s="2" t="s">
        <v>2487</v>
      </c>
      <c r="C234" s="2" t="s">
        <v>2488</v>
      </c>
      <c r="D234" s="5" t="s">
        <v>2490</v>
      </c>
      <c r="E234" s="4" t="s">
        <v>2491</v>
      </c>
      <c r="F234" s="6">
        <v>14278836</v>
      </c>
      <c r="G234" s="3">
        <v>14278836</v>
      </c>
      <c r="H234" s="7">
        <v>194753818132</v>
      </c>
      <c r="I234" s="8" t="s">
        <v>2418</v>
      </c>
      <c r="J234" s="4">
        <v>1</v>
      </c>
      <c r="K234" s="9">
        <v>26</v>
      </c>
      <c r="L234" s="9">
        <v>26</v>
      </c>
      <c r="M234" s="4" t="s">
        <v>2419</v>
      </c>
      <c r="N234" s="4" t="s">
        <v>2544</v>
      </c>
      <c r="O234" s="4" t="s">
        <v>2532</v>
      </c>
      <c r="P234" s="4" t="s">
        <v>2666</v>
      </c>
      <c r="Q234" s="4" t="s">
        <v>3399</v>
      </c>
      <c r="R234" s="4"/>
      <c r="S234" s="4"/>
      <c r="T234" s="4" t="str">
        <f>HYPERLINK("http://slimages.macys.com/is/image/MCY/20856095 ")</f>
        <v xml:space="preserve">http://slimages.macys.com/is/image/MCY/20856095 </v>
      </c>
    </row>
    <row r="235" spans="1:20" ht="15" customHeight="1" x14ac:dyDescent="0.25">
      <c r="A235" s="4" t="s">
        <v>2489</v>
      </c>
      <c r="B235" s="2" t="s">
        <v>2487</v>
      </c>
      <c r="C235" s="2" t="s">
        <v>2488</v>
      </c>
      <c r="D235" s="5" t="s">
        <v>2490</v>
      </c>
      <c r="E235" s="4" t="s">
        <v>2491</v>
      </c>
      <c r="F235" s="6">
        <v>14278836</v>
      </c>
      <c r="G235" s="3">
        <v>14278836</v>
      </c>
      <c r="H235" s="7">
        <v>733003616427</v>
      </c>
      <c r="I235" s="8" t="s">
        <v>2420</v>
      </c>
      <c r="J235" s="4">
        <v>1</v>
      </c>
      <c r="K235" s="9">
        <v>7.99</v>
      </c>
      <c r="L235" s="9">
        <v>7.99</v>
      </c>
      <c r="M235" s="4" t="s">
        <v>2757</v>
      </c>
      <c r="N235" s="4" t="s">
        <v>2565</v>
      </c>
      <c r="O235" s="4" t="s">
        <v>2650</v>
      </c>
      <c r="P235" s="4" t="s">
        <v>2503</v>
      </c>
      <c r="Q235" s="4" t="s">
        <v>2504</v>
      </c>
      <c r="R235" s="4"/>
      <c r="S235" s="4"/>
      <c r="T235" s="4" t="str">
        <f>HYPERLINK("http://slimages.macys.com/is/image/MCY/8695857 ")</f>
        <v xml:space="preserve">http://slimages.macys.com/is/image/MCY/8695857 </v>
      </c>
    </row>
    <row r="236" spans="1:20" ht="15" customHeight="1" x14ac:dyDescent="0.25">
      <c r="A236" s="4" t="s">
        <v>2489</v>
      </c>
      <c r="B236" s="2" t="s">
        <v>2487</v>
      </c>
      <c r="C236" s="2" t="s">
        <v>2488</v>
      </c>
      <c r="D236" s="5" t="s">
        <v>2490</v>
      </c>
      <c r="E236" s="4" t="s">
        <v>2491</v>
      </c>
      <c r="F236" s="6">
        <v>14278836</v>
      </c>
      <c r="G236" s="3">
        <v>14278836</v>
      </c>
      <c r="H236" s="7">
        <v>733004746185</v>
      </c>
      <c r="I236" s="8" t="s">
        <v>2916</v>
      </c>
      <c r="J236" s="4">
        <v>2</v>
      </c>
      <c r="K236" s="9">
        <v>6.99</v>
      </c>
      <c r="L236" s="9">
        <v>13.98</v>
      </c>
      <c r="M236" s="4" t="s">
        <v>2885</v>
      </c>
      <c r="N236" s="4" t="s">
        <v>2505</v>
      </c>
      <c r="O236" s="4" t="s">
        <v>2559</v>
      </c>
      <c r="P236" s="4" t="s">
        <v>2503</v>
      </c>
      <c r="Q236" s="4" t="s">
        <v>2504</v>
      </c>
      <c r="R236" s="4"/>
      <c r="S236" s="4"/>
      <c r="T236" s="4" t="str">
        <f>HYPERLINK("http://slimages.macys.com/is/image/MCY/19977855 ")</f>
        <v xml:space="preserve">http://slimages.macys.com/is/image/MCY/19977855 </v>
      </c>
    </row>
    <row r="237" spans="1:20" ht="15" customHeight="1" x14ac:dyDescent="0.25">
      <c r="A237" s="4" t="s">
        <v>2489</v>
      </c>
      <c r="B237" s="2" t="s">
        <v>2487</v>
      </c>
      <c r="C237" s="2" t="s">
        <v>2488</v>
      </c>
      <c r="D237" s="5" t="s">
        <v>2490</v>
      </c>
      <c r="E237" s="4" t="s">
        <v>2491</v>
      </c>
      <c r="F237" s="6">
        <v>14278836</v>
      </c>
      <c r="G237" s="3">
        <v>14278836</v>
      </c>
      <c r="H237" s="7">
        <v>762120113021</v>
      </c>
      <c r="I237" s="8" t="s">
        <v>3372</v>
      </c>
      <c r="J237" s="4">
        <v>1</v>
      </c>
      <c r="K237" s="9">
        <v>6.99</v>
      </c>
      <c r="L237" s="9">
        <v>6.99</v>
      </c>
      <c r="M237" s="4" t="s">
        <v>3270</v>
      </c>
      <c r="N237" s="4" t="s">
        <v>2518</v>
      </c>
      <c r="O237" s="4" t="s">
        <v>2559</v>
      </c>
      <c r="P237" s="4" t="s">
        <v>2503</v>
      </c>
      <c r="Q237" s="4" t="s">
        <v>2504</v>
      </c>
      <c r="R237" s="4"/>
      <c r="S237" s="4"/>
      <c r="T237" s="4" t="str">
        <f>HYPERLINK("http://slimages.macys.com/is/image/MCY/19977414 ")</f>
        <v xml:space="preserve">http://slimages.macys.com/is/image/MCY/19977414 </v>
      </c>
    </row>
    <row r="238" spans="1:20" ht="15" customHeight="1" x14ac:dyDescent="0.25">
      <c r="A238" s="4" t="s">
        <v>2489</v>
      </c>
      <c r="B238" s="2" t="s">
        <v>2487</v>
      </c>
      <c r="C238" s="2" t="s">
        <v>2488</v>
      </c>
      <c r="D238" s="5" t="s">
        <v>2490</v>
      </c>
      <c r="E238" s="4" t="s">
        <v>2491</v>
      </c>
      <c r="F238" s="6">
        <v>14278836</v>
      </c>
      <c r="G238" s="3">
        <v>14278836</v>
      </c>
      <c r="H238" s="7">
        <v>733004884214</v>
      </c>
      <c r="I238" s="8" t="s">
        <v>2421</v>
      </c>
      <c r="J238" s="4">
        <v>1</v>
      </c>
      <c r="K238" s="9">
        <v>6.99</v>
      </c>
      <c r="L238" s="9">
        <v>6.99</v>
      </c>
      <c r="M238" s="4" t="s">
        <v>2422</v>
      </c>
      <c r="N238" s="4" t="s">
        <v>2638</v>
      </c>
      <c r="O238" s="4" t="s">
        <v>2559</v>
      </c>
      <c r="P238" s="4" t="s">
        <v>2503</v>
      </c>
      <c r="Q238" s="4" t="s">
        <v>2504</v>
      </c>
      <c r="R238" s="4"/>
      <c r="S238" s="4"/>
      <c r="T238" s="4" t="str">
        <f>HYPERLINK("http://slimages.macys.com/is/image/MCY/1062102 ")</f>
        <v xml:space="preserve">http://slimages.macys.com/is/image/MCY/1062102 </v>
      </c>
    </row>
    <row r="239" spans="1:20" ht="15" customHeight="1" x14ac:dyDescent="0.25">
      <c r="A239" s="4" t="s">
        <v>2489</v>
      </c>
      <c r="B239" s="2" t="s">
        <v>2487</v>
      </c>
      <c r="C239" s="2" t="s">
        <v>2488</v>
      </c>
      <c r="D239" s="5" t="s">
        <v>2490</v>
      </c>
      <c r="E239" s="4" t="s">
        <v>2491</v>
      </c>
      <c r="F239" s="6">
        <v>14278836</v>
      </c>
      <c r="G239" s="3">
        <v>14278836</v>
      </c>
      <c r="H239" s="7">
        <v>733004883699</v>
      </c>
      <c r="I239" s="8" t="s">
        <v>2423</v>
      </c>
      <c r="J239" s="4">
        <v>1</v>
      </c>
      <c r="K239" s="9">
        <v>6.99</v>
      </c>
      <c r="L239" s="9">
        <v>6.99</v>
      </c>
      <c r="M239" s="4" t="s">
        <v>2826</v>
      </c>
      <c r="N239" s="4" t="s">
        <v>2505</v>
      </c>
      <c r="O239" s="4" t="s">
        <v>2607</v>
      </c>
      <c r="P239" s="4" t="s">
        <v>2503</v>
      </c>
      <c r="Q239" s="4" t="s">
        <v>2504</v>
      </c>
      <c r="R239" s="4"/>
      <c r="S239" s="4"/>
      <c r="T239" s="4" t="str">
        <f>HYPERLINK("http://slimages.macys.com/is/image/MCY/1070793 ")</f>
        <v xml:space="preserve">http://slimages.macys.com/is/image/MCY/1070793 </v>
      </c>
    </row>
    <row r="240" spans="1:20" ht="15" customHeight="1" x14ac:dyDescent="0.25">
      <c r="A240" s="4" t="s">
        <v>2489</v>
      </c>
      <c r="B240" s="2" t="s">
        <v>2487</v>
      </c>
      <c r="C240" s="2" t="s">
        <v>2488</v>
      </c>
      <c r="D240" s="5" t="s">
        <v>2490</v>
      </c>
      <c r="E240" s="4" t="s">
        <v>2491</v>
      </c>
      <c r="F240" s="6">
        <v>14278836</v>
      </c>
      <c r="G240" s="3">
        <v>14278836</v>
      </c>
      <c r="H240" s="7">
        <v>733001124979</v>
      </c>
      <c r="I240" s="8" t="s">
        <v>2424</v>
      </c>
      <c r="J240" s="4">
        <v>2</v>
      </c>
      <c r="K240" s="9">
        <v>7.99</v>
      </c>
      <c r="L240" s="9">
        <v>15.98</v>
      </c>
      <c r="M240" s="4" t="s">
        <v>2757</v>
      </c>
      <c r="N240" s="4" t="s">
        <v>2501</v>
      </c>
      <c r="O240" s="4" t="s">
        <v>2650</v>
      </c>
      <c r="P240" s="4" t="s">
        <v>2503</v>
      </c>
      <c r="Q240" s="4" t="s">
        <v>2504</v>
      </c>
      <c r="R240" s="4"/>
      <c r="S240" s="4"/>
      <c r="T240" s="4" t="str">
        <f>HYPERLINK("http://slimages.macys.com/is/image/MCY/14885497 ")</f>
        <v xml:space="preserve">http://slimages.macys.com/is/image/MCY/14885497 </v>
      </c>
    </row>
    <row r="241" spans="1:20" ht="15" customHeight="1" x14ac:dyDescent="0.25">
      <c r="A241" s="4" t="s">
        <v>2489</v>
      </c>
      <c r="B241" s="2" t="s">
        <v>2487</v>
      </c>
      <c r="C241" s="2" t="s">
        <v>2488</v>
      </c>
      <c r="D241" s="5" t="s">
        <v>2490</v>
      </c>
      <c r="E241" s="4" t="s">
        <v>2491</v>
      </c>
      <c r="F241" s="6">
        <v>14278836</v>
      </c>
      <c r="G241" s="3">
        <v>14278836</v>
      </c>
      <c r="H241" s="7">
        <v>193666736618</v>
      </c>
      <c r="I241" s="8" t="s">
        <v>2425</v>
      </c>
      <c r="J241" s="4">
        <v>1</v>
      </c>
      <c r="K241" s="9">
        <v>6.99</v>
      </c>
      <c r="L241" s="9">
        <v>6.99</v>
      </c>
      <c r="M241" s="4">
        <v>7859</v>
      </c>
      <c r="N241" s="4" t="s">
        <v>2501</v>
      </c>
      <c r="O241" s="4" t="s">
        <v>2671</v>
      </c>
      <c r="P241" s="4" t="s">
        <v>2666</v>
      </c>
      <c r="Q241" s="4" t="s">
        <v>2775</v>
      </c>
      <c r="R241" s="4"/>
      <c r="S241" s="4"/>
      <c r="T241" s="4" t="str">
        <f>HYPERLINK("http://slimages.macys.com/is/image/MCY/19674912 ")</f>
        <v xml:space="preserve">http://slimages.macys.com/is/image/MCY/19674912 </v>
      </c>
    </row>
    <row r="242" spans="1:20" ht="15" customHeight="1" x14ac:dyDescent="0.25">
      <c r="A242" s="4" t="s">
        <v>2489</v>
      </c>
      <c r="B242" s="2" t="s">
        <v>2487</v>
      </c>
      <c r="C242" s="2" t="s">
        <v>2488</v>
      </c>
      <c r="D242" s="5" t="s">
        <v>2490</v>
      </c>
      <c r="E242" s="4" t="s">
        <v>2491</v>
      </c>
      <c r="F242" s="6">
        <v>14278836</v>
      </c>
      <c r="G242" s="3">
        <v>14278836</v>
      </c>
      <c r="H242" s="7">
        <v>194135550070</v>
      </c>
      <c r="I242" s="8" t="s">
        <v>2426</v>
      </c>
      <c r="J242" s="4">
        <v>1</v>
      </c>
      <c r="K242" s="9">
        <v>15.39</v>
      </c>
      <c r="L242" s="9">
        <v>15.39</v>
      </c>
      <c r="M242" s="4" t="s">
        <v>2427</v>
      </c>
      <c r="N242" s="4" t="s">
        <v>2567</v>
      </c>
      <c r="O242" s="4" t="s">
        <v>2597</v>
      </c>
      <c r="P242" s="4" t="s">
        <v>2494</v>
      </c>
      <c r="Q242" s="4" t="s">
        <v>2495</v>
      </c>
      <c r="R242" s="4"/>
      <c r="S242" s="4"/>
      <c r="T242" s="4" t="str">
        <f>HYPERLINK("http://slimages.macys.com/is/image/MCY/19859665 ")</f>
        <v xml:space="preserve">http://slimages.macys.com/is/image/MCY/19859665 </v>
      </c>
    </row>
    <row r="243" spans="1:20" ht="15" customHeight="1" x14ac:dyDescent="0.25">
      <c r="A243" s="4" t="s">
        <v>2489</v>
      </c>
      <c r="B243" s="2" t="s">
        <v>2487</v>
      </c>
      <c r="C243" s="2" t="s">
        <v>2488</v>
      </c>
      <c r="D243" s="5" t="s">
        <v>2490</v>
      </c>
      <c r="E243" s="4" t="s">
        <v>2491</v>
      </c>
      <c r="F243" s="6">
        <v>14278836</v>
      </c>
      <c r="G243" s="3">
        <v>14278836</v>
      </c>
      <c r="H243" s="7">
        <v>696114433331</v>
      </c>
      <c r="I243" s="8" t="s">
        <v>2142</v>
      </c>
      <c r="J243" s="4">
        <v>4</v>
      </c>
      <c r="K243" s="9">
        <v>19.989999999999998</v>
      </c>
      <c r="L243" s="9">
        <v>79.959999999999994</v>
      </c>
      <c r="M243" s="4" t="s">
        <v>2143</v>
      </c>
      <c r="N243" s="4" t="s">
        <v>2531</v>
      </c>
      <c r="O243" s="4" t="s">
        <v>2817</v>
      </c>
      <c r="P243" s="4" t="s">
        <v>2569</v>
      </c>
      <c r="Q243" s="4" t="s">
        <v>2679</v>
      </c>
      <c r="R243" s="4"/>
      <c r="S243" s="4"/>
      <c r="T243" s="4" t="str">
        <f>HYPERLINK("http://slimages.macys.com/is/image/MCY/20426355 ")</f>
        <v xml:space="preserve">http://slimages.macys.com/is/image/MCY/20426355 </v>
      </c>
    </row>
    <row r="244" spans="1:20" ht="15" customHeight="1" x14ac:dyDescent="0.25">
      <c r="A244" s="4" t="s">
        <v>2489</v>
      </c>
      <c r="B244" s="2" t="s">
        <v>2487</v>
      </c>
      <c r="C244" s="2" t="s">
        <v>2488</v>
      </c>
      <c r="D244" s="5" t="s">
        <v>2490</v>
      </c>
      <c r="E244" s="4" t="s">
        <v>2491</v>
      </c>
      <c r="F244" s="6">
        <v>14278836</v>
      </c>
      <c r="G244" s="3">
        <v>14278836</v>
      </c>
      <c r="H244" s="7">
        <v>194135635043</v>
      </c>
      <c r="I244" s="8" t="s">
        <v>2428</v>
      </c>
      <c r="J244" s="4">
        <v>1</v>
      </c>
      <c r="K244" s="9">
        <v>17.32</v>
      </c>
      <c r="L244" s="9">
        <v>17.32</v>
      </c>
      <c r="M244" s="4" t="s">
        <v>3241</v>
      </c>
      <c r="N244" s="4"/>
      <c r="O244" s="4" t="s">
        <v>2524</v>
      </c>
      <c r="P244" s="4" t="s">
        <v>2657</v>
      </c>
      <c r="Q244" s="4" t="s">
        <v>2658</v>
      </c>
      <c r="R244" s="4"/>
      <c r="S244" s="4"/>
      <c r="T244" s="4" t="str">
        <f>HYPERLINK("http://slimages.macys.com/is/image/MCY/20193710 ")</f>
        <v xml:space="preserve">http://slimages.macys.com/is/image/MCY/20193710 </v>
      </c>
    </row>
    <row r="245" spans="1:20" ht="15" customHeight="1" x14ac:dyDescent="0.25">
      <c r="A245" s="4" t="s">
        <v>2489</v>
      </c>
      <c r="B245" s="2" t="s">
        <v>2487</v>
      </c>
      <c r="C245" s="2" t="s">
        <v>2488</v>
      </c>
      <c r="D245" s="5" t="s">
        <v>2490</v>
      </c>
      <c r="E245" s="4" t="s">
        <v>2491</v>
      </c>
      <c r="F245" s="6">
        <v>14278836</v>
      </c>
      <c r="G245" s="3">
        <v>14278836</v>
      </c>
      <c r="H245" s="7">
        <v>192401257609</v>
      </c>
      <c r="I245" s="8" t="s">
        <v>2429</v>
      </c>
      <c r="J245" s="4">
        <v>1</v>
      </c>
      <c r="K245" s="9">
        <v>22.99</v>
      </c>
      <c r="L245" s="9">
        <v>22.99</v>
      </c>
      <c r="M245" s="4" t="s">
        <v>3058</v>
      </c>
      <c r="N245" s="4" t="s">
        <v>2676</v>
      </c>
      <c r="O245" s="4" t="s">
        <v>2498</v>
      </c>
      <c r="P245" s="4" t="s">
        <v>2556</v>
      </c>
      <c r="Q245" s="4" t="s">
        <v>2882</v>
      </c>
      <c r="R245" s="4"/>
      <c r="S245" s="4"/>
      <c r="T245" s="4" t="str">
        <f>HYPERLINK("http://slimages.macys.com/is/image/MCY/18144734 ")</f>
        <v xml:space="preserve">http://slimages.macys.com/is/image/MCY/18144734 </v>
      </c>
    </row>
    <row r="246" spans="1:20" ht="15" customHeight="1" x14ac:dyDescent="0.25">
      <c r="A246" s="4" t="s">
        <v>2489</v>
      </c>
      <c r="B246" s="2" t="s">
        <v>2487</v>
      </c>
      <c r="C246" s="2" t="s">
        <v>2488</v>
      </c>
      <c r="D246" s="5" t="s">
        <v>2490</v>
      </c>
      <c r="E246" s="4" t="s">
        <v>2491</v>
      </c>
      <c r="F246" s="6">
        <v>14278836</v>
      </c>
      <c r="G246" s="3">
        <v>14278836</v>
      </c>
      <c r="H246" s="7">
        <v>889799955117</v>
      </c>
      <c r="I246" s="8" t="s">
        <v>2430</v>
      </c>
      <c r="J246" s="4">
        <v>4</v>
      </c>
      <c r="K246" s="9">
        <v>27.99</v>
      </c>
      <c r="L246" s="9">
        <v>111.96</v>
      </c>
      <c r="M246" s="4" t="s">
        <v>2431</v>
      </c>
      <c r="N246" s="4" t="s">
        <v>2544</v>
      </c>
      <c r="O246" s="4">
        <v>4</v>
      </c>
      <c r="P246" s="4" t="s">
        <v>2569</v>
      </c>
      <c r="Q246" s="4" t="s">
        <v>2570</v>
      </c>
      <c r="R246" s="4"/>
      <c r="S246" s="4"/>
      <c r="T246" s="4" t="str">
        <f>HYPERLINK("http://slimages.macys.com/is/image/MCY/20662511 ")</f>
        <v xml:space="preserve">http://slimages.macys.com/is/image/MCY/20662511 </v>
      </c>
    </row>
    <row r="247" spans="1:20" ht="15" customHeight="1" x14ac:dyDescent="0.25">
      <c r="A247" s="4" t="s">
        <v>2489</v>
      </c>
      <c r="B247" s="2" t="s">
        <v>2487</v>
      </c>
      <c r="C247" s="2" t="s">
        <v>2488</v>
      </c>
      <c r="D247" s="5" t="s">
        <v>2490</v>
      </c>
      <c r="E247" s="4" t="s">
        <v>2491</v>
      </c>
      <c r="F247" s="6">
        <v>14278836</v>
      </c>
      <c r="G247" s="3">
        <v>14278836</v>
      </c>
      <c r="H247" s="7">
        <v>194870455432</v>
      </c>
      <c r="I247" s="8" t="s">
        <v>1826</v>
      </c>
      <c r="J247" s="4">
        <v>5</v>
      </c>
      <c r="K247" s="9">
        <v>30.99</v>
      </c>
      <c r="L247" s="9">
        <v>154.94999999999999</v>
      </c>
      <c r="M247" s="4" t="s">
        <v>1827</v>
      </c>
      <c r="N247" s="4" t="s">
        <v>2567</v>
      </c>
      <c r="O247" s="4" t="s">
        <v>2555</v>
      </c>
      <c r="P247" s="4" t="s">
        <v>2499</v>
      </c>
      <c r="Q247" s="4" t="s">
        <v>2694</v>
      </c>
      <c r="R247" s="4"/>
      <c r="S247" s="4"/>
      <c r="T247" s="4" t="str">
        <f>HYPERLINK("http://slimages.macys.com/is/image/MCY/20228984 ")</f>
        <v xml:space="preserve">http://slimages.macys.com/is/image/MCY/20228984 </v>
      </c>
    </row>
    <row r="248" spans="1:20" ht="15" customHeight="1" x14ac:dyDescent="0.25">
      <c r="A248" s="4" t="s">
        <v>2489</v>
      </c>
      <c r="B248" s="2" t="s">
        <v>2487</v>
      </c>
      <c r="C248" s="2" t="s">
        <v>2488</v>
      </c>
      <c r="D248" s="5" t="s">
        <v>2490</v>
      </c>
      <c r="E248" s="4" t="s">
        <v>2491</v>
      </c>
      <c r="F248" s="6">
        <v>14278836</v>
      </c>
      <c r="G248" s="3">
        <v>14278836</v>
      </c>
      <c r="H248" s="7">
        <v>194257610560</v>
      </c>
      <c r="I248" s="8" t="s">
        <v>2432</v>
      </c>
      <c r="J248" s="4">
        <v>1</v>
      </c>
      <c r="K248" s="9">
        <v>21.99</v>
      </c>
      <c r="L248" s="9">
        <v>21.99</v>
      </c>
      <c r="M248" s="4" t="s">
        <v>2433</v>
      </c>
      <c r="N248" s="4" t="s">
        <v>2505</v>
      </c>
      <c r="O248" s="4" t="s">
        <v>2532</v>
      </c>
      <c r="P248" s="4" t="s">
        <v>2499</v>
      </c>
      <c r="Q248" s="4" t="s">
        <v>2500</v>
      </c>
      <c r="R248" s="4"/>
      <c r="S248" s="4"/>
      <c r="T248" s="4" t="str">
        <f>HYPERLINK("http://slimages.macys.com/is/image/MCY/20475165 ")</f>
        <v xml:space="preserve">http://slimages.macys.com/is/image/MCY/20475165 </v>
      </c>
    </row>
    <row r="249" spans="1:20" ht="15" customHeight="1" x14ac:dyDescent="0.25">
      <c r="A249" s="4" t="s">
        <v>2489</v>
      </c>
      <c r="B249" s="2" t="s">
        <v>2487</v>
      </c>
      <c r="C249" s="2" t="s">
        <v>2488</v>
      </c>
      <c r="D249" s="5" t="s">
        <v>2490</v>
      </c>
      <c r="E249" s="4" t="s">
        <v>2491</v>
      </c>
      <c r="F249" s="6">
        <v>14278836</v>
      </c>
      <c r="G249" s="3">
        <v>14278836</v>
      </c>
      <c r="H249" s="7">
        <v>882925728890</v>
      </c>
      <c r="I249" s="8" t="s">
        <v>2434</v>
      </c>
      <c r="J249" s="4">
        <v>1</v>
      </c>
      <c r="K249" s="9">
        <v>65</v>
      </c>
      <c r="L249" s="9">
        <v>65</v>
      </c>
      <c r="M249" s="4">
        <v>323851028004</v>
      </c>
      <c r="N249" s="4" t="s">
        <v>2523</v>
      </c>
      <c r="O249" s="4" t="s">
        <v>2532</v>
      </c>
      <c r="P249" s="4" t="s">
        <v>2615</v>
      </c>
      <c r="Q249" s="4" t="s">
        <v>2616</v>
      </c>
      <c r="R249" s="4"/>
      <c r="S249" s="4"/>
      <c r="T249" s="4" t="str">
        <f>HYPERLINK("http://slimages.macys.com/is/image/MCY/20757563 ")</f>
        <v xml:space="preserve">http://slimages.macys.com/is/image/MCY/20757563 </v>
      </c>
    </row>
    <row r="250" spans="1:20" ht="15" customHeight="1" x14ac:dyDescent="0.25">
      <c r="A250" s="4" t="s">
        <v>2489</v>
      </c>
      <c r="B250" s="2" t="s">
        <v>2487</v>
      </c>
      <c r="C250" s="2" t="s">
        <v>2488</v>
      </c>
      <c r="D250" s="5" t="s">
        <v>2490</v>
      </c>
      <c r="E250" s="4" t="s">
        <v>2491</v>
      </c>
      <c r="F250" s="6">
        <v>14278836</v>
      </c>
      <c r="G250" s="3">
        <v>14278836</v>
      </c>
      <c r="H250" s="7">
        <v>196027058992</v>
      </c>
      <c r="I250" s="8" t="s">
        <v>2435</v>
      </c>
      <c r="J250" s="4">
        <v>5</v>
      </c>
      <c r="K250" s="9">
        <v>30.99</v>
      </c>
      <c r="L250" s="9">
        <v>154.94999999999999</v>
      </c>
      <c r="M250" s="4" t="s">
        <v>2436</v>
      </c>
      <c r="N250" s="4" t="s">
        <v>2544</v>
      </c>
      <c r="O250" s="4">
        <v>8</v>
      </c>
      <c r="P250" s="4" t="s">
        <v>2569</v>
      </c>
      <c r="Q250" s="4" t="s">
        <v>2570</v>
      </c>
      <c r="R250" s="4"/>
      <c r="S250" s="4"/>
      <c r="T250" s="4" t="str">
        <f>HYPERLINK("http://slimages.macys.com/is/image/MCY/20592642 ")</f>
        <v xml:space="preserve">http://slimages.macys.com/is/image/MCY/20592642 </v>
      </c>
    </row>
    <row r="251" spans="1:20" ht="15" customHeight="1" x14ac:dyDescent="0.25">
      <c r="A251" s="4" t="s">
        <v>2489</v>
      </c>
      <c r="B251" s="2" t="s">
        <v>2487</v>
      </c>
      <c r="C251" s="2" t="s">
        <v>2488</v>
      </c>
      <c r="D251" s="5" t="s">
        <v>2490</v>
      </c>
      <c r="E251" s="4" t="s">
        <v>2491</v>
      </c>
      <c r="F251" s="6">
        <v>14278836</v>
      </c>
      <c r="G251" s="3">
        <v>14278836</v>
      </c>
      <c r="H251" s="7">
        <v>733002285938</v>
      </c>
      <c r="I251" s="8" t="s">
        <v>2437</v>
      </c>
      <c r="J251" s="4">
        <v>1</v>
      </c>
      <c r="K251" s="9">
        <v>5.99</v>
      </c>
      <c r="L251" s="9">
        <v>5.99</v>
      </c>
      <c r="M251" s="4" t="s">
        <v>2727</v>
      </c>
      <c r="N251" s="4" t="s">
        <v>2523</v>
      </c>
      <c r="O251" s="4">
        <v>7</v>
      </c>
      <c r="P251" s="4" t="s">
        <v>2520</v>
      </c>
      <c r="Q251" s="4" t="s">
        <v>2528</v>
      </c>
      <c r="R251" s="4"/>
      <c r="S251" s="4"/>
      <c r="T251" s="4" t="str">
        <f>HYPERLINK("http://slimages.macys.com/is/image/MCY/19258472 ")</f>
        <v xml:space="preserve">http://slimages.macys.com/is/image/MCY/19258472 </v>
      </c>
    </row>
    <row r="252" spans="1:20" ht="15" customHeight="1" x14ac:dyDescent="0.25">
      <c r="A252" s="4" t="s">
        <v>2489</v>
      </c>
      <c r="B252" s="2" t="s">
        <v>2487</v>
      </c>
      <c r="C252" s="2" t="s">
        <v>2488</v>
      </c>
      <c r="D252" s="5" t="s">
        <v>2490</v>
      </c>
      <c r="E252" s="4" t="s">
        <v>2491</v>
      </c>
      <c r="F252" s="6">
        <v>14278836</v>
      </c>
      <c r="G252" s="3">
        <v>14278836</v>
      </c>
      <c r="H252" s="7">
        <v>733004103117</v>
      </c>
      <c r="I252" s="8" t="s">
        <v>2438</v>
      </c>
      <c r="J252" s="4">
        <v>1</v>
      </c>
      <c r="K252" s="9">
        <v>22.99</v>
      </c>
      <c r="L252" s="9">
        <v>22.99</v>
      </c>
      <c r="M252" s="4" t="s">
        <v>2439</v>
      </c>
      <c r="N252" s="4" t="s">
        <v>2501</v>
      </c>
      <c r="O252" s="4" t="s">
        <v>2498</v>
      </c>
      <c r="P252" s="4" t="s">
        <v>2543</v>
      </c>
      <c r="Q252" s="4" t="s">
        <v>2528</v>
      </c>
      <c r="R252" s="4"/>
      <c r="S252" s="4"/>
      <c r="T252" s="4" t="str">
        <f>HYPERLINK("http://slimages.macys.com/is/image/MCY/19988481 ")</f>
        <v xml:space="preserve">http://slimages.macys.com/is/image/MCY/19988481 </v>
      </c>
    </row>
    <row r="253" spans="1:20" ht="15" customHeight="1" x14ac:dyDescent="0.25">
      <c r="A253" s="4" t="s">
        <v>2489</v>
      </c>
      <c r="B253" s="2" t="s">
        <v>2487</v>
      </c>
      <c r="C253" s="2" t="s">
        <v>2488</v>
      </c>
      <c r="D253" s="5" t="s">
        <v>2490</v>
      </c>
      <c r="E253" s="4" t="s">
        <v>2491</v>
      </c>
      <c r="F253" s="6">
        <v>14278836</v>
      </c>
      <c r="G253" s="3">
        <v>14278836</v>
      </c>
      <c r="H253" s="7">
        <v>195238048211</v>
      </c>
      <c r="I253" s="8" t="s">
        <v>2440</v>
      </c>
      <c r="J253" s="4">
        <v>1</v>
      </c>
      <c r="K253" s="9">
        <v>33.99</v>
      </c>
      <c r="L253" s="9">
        <v>33.99</v>
      </c>
      <c r="M253" s="4" t="s">
        <v>2218</v>
      </c>
      <c r="N253" s="4" t="s">
        <v>2729</v>
      </c>
      <c r="O253" s="4" t="s">
        <v>2519</v>
      </c>
      <c r="P253" s="4" t="s">
        <v>2499</v>
      </c>
      <c r="Q253" s="4" t="s">
        <v>2568</v>
      </c>
      <c r="R253" s="4"/>
      <c r="S253" s="4"/>
      <c r="T253" s="4" t="str">
        <f>HYPERLINK("http://slimages.macys.com/is/image/MCY/19544112 ")</f>
        <v xml:space="preserve">http://slimages.macys.com/is/image/MCY/19544112 </v>
      </c>
    </row>
    <row r="254" spans="1:20" ht="15" customHeight="1" x14ac:dyDescent="0.25">
      <c r="A254" s="4" t="s">
        <v>2489</v>
      </c>
      <c r="B254" s="2" t="s">
        <v>2487</v>
      </c>
      <c r="C254" s="2" t="s">
        <v>2488</v>
      </c>
      <c r="D254" s="5" t="s">
        <v>2490</v>
      </c>
      <c r="E254" s="4" t="s">
        <v>2491</v>
      </c>
      <c r="F254" s="6">
        <v>14278836</v>
      </c>
      <c r="G254" s="3">
        <v>14278836</v>
      </c>
      <c r="H254" s="7">
        <v>733003192716</v>
      </c>
      <c r="I254" s="8" t="s">
        <v>2441</v>
      </c>
      <c r="J254" s="4">
        <v>2</v>
      </c>
      <c r="K254" s="9">
        <v>14.99</v>
      </c>
      <c r="L254" s="9">
        <v>29.98</v>
      </c>
      <c r="M254" s="4" t="s">
        <v>3398</v>
      </c>
      <c r="N254" s="4" t="s">
        <v>2505</v>
      </c>
      <c r="O254" s="4" t="s">
        <v>2519</v>
      </c>
      <c r="P254" s="4" t="s">
        <v>2515</v>
      </c>
      <c r="Q254" s="4" t="s">
        <v>2672</v>
      </c>
      <c r="R254" s="4"/>
      <c r="S254" s="4"/>
      <c r="T254" s="4" t="str">
        <f>HYPERLINK("http://slimages.macys.com/is/image/MCY/19505448 ")</f>
        <v xml:space="preserve">http://slimages.macys.com/is/image/MCY/19505448 </v>
      </c>
    </row>
    <row r="255" spans="1:20" ht="15" customHeight="1" x14ac:dyDescent="0.25">
      <c r="A255" s="4" t="s">
        <v>2489</v>
      </c>
      <c r="B255" s="2" t="s">
        <v>2487</v>
      </c>
      <c r="C255" s="2" t="s">
        <v>2488</v>
      </c>
      <c r="D255" s="5" t="s">
        <v>2490</v>
      </c>
      <c r="E255" s="4" t="s">
        <v>2491</v>
      </c>
      <c r="F255" s="6">
        <v>14278836</v>
      </c>
      <c r="G255" s="3">
        <v>14278836</v>
      </c>
      <c r="H255" s="7">
        <v>194135472150</v>
      </c>
      <c r="I255" s="8" t="s">
        <v>2442</v>
      </c>
      <c r="J255" s="4">
        <v>1</v>
      </c>
      <c r="K255" s="9">
        <v>7.96</v>
      </c>
      <c r="L255" s="9">
        <v>7.96</v>
      </c>
      <c r="M255" s="4" t="s">
        <v>2443</v>
      </c>
      <c r="N255" s="4" t="s">
        <v>2523</v>
      </c>
      <c r="O255" s="4" t="s">
        <v>2597</v>
      </c>
      <c r="P255" s="4" t="s">
        <v>2494</v>
      </c>
      <c r="Q255" s="4" t="s">
        <v>2495</v>
      </c>
      <c r="R255" s="4"/>
      <c r="S255" s="4"/>
      <c r="T255" s="4" t="str">
        <f>HYPERLINK("http://slimages.macys.com/is/image/MCY/19836864 ")</f>
        <v xml:space="preserve">http://slimages.macys.com/is/image/MCY/19836864 </v>
      </c>
    </row>
    <row r="256" spans="1:20" ht="15" customHeight="1" x14ac:dyDescent="0.25">
      <c r="A256" s="4" t="s">
        <v>2489</v>
      </c>
      <c r="B256" s="2" t="s">
        <v>2487</v>
      </c>
      <c r="C256" s="2" t="s">
        <v>2488</v>
      </c>
      <c r="D256" s="5" t="s">
        <v>2490</v>
      </c>
      <c r="E256" s="4" t="s">
        <v>2491</v>
      </c>
      <c r="F256" s="6">
        <v>14278836</v>
      </c>
      <c r="G256" s="3">
        <v>14278836</v>
      </c>
      <c r="H256" s="7">
        <v>45299038136</v>
      </c>
      <c r="I256" s="8" t="s">
        <v>2444</v>
      </c>
      <c r="J256" s="4">
        <v>1</v>
      </c>
      <c r="K256" s="9">
        <v>14.99</v>
      </c>
      <c r="L256" s="9">
        <v>14.99</v>
      </c>
      <c r="M256" s="4" t="s">
        <v>2445</v>
      </c>
      <c r="N256" s="4" t="s">
        <v>2544</v>
      </c>
      <c r="O256" s="4">
        <v>6</v>
      </c>
      <c r="P256" s="4" t="s">
        <v>2666</v>
      </c>
      <c r="Q256" s="4" t="s">
        <v>2446</v>
      </c>
      <c r="R256" s="4" t="s">
        <v>2552</v>
      </c>
      <c r="S256" s="4" t="s">
        <v>2878</v>
      </c>
      <c r="T256" s="4" t="str">
        <f>HYPERLINK("http://slimages.macys.com/is/image/MCY/3891062 ")</f>
        <v xml:space="preserve">http://slimages.macys.com/is/image/MCY/3891062 </v>
      </c>
    </row>
    <row r="257" spans="1:20" ht="15" customHeight="1" x14ac:dyDescent="0.25">
      <c r="A257" s="4" t="s">
        <v>2489</v>
      </c>
      <c r="B257" s="2" t="s">
        <v>2487</v>
      </c>
      <c r="C257" s="2" t="s">
        <v>2488</v>
      </c>
      <c r="D257" s="5" t="s">
        <v>2490</v>
      </c>
      <c r="E257" s="4" t="s">
        <v>2491</v>
      </c>
      <c r="F257" s="6">
        <v>14278836</v>
      </c>
      <c r="G257" s="3">
        <v>14278836</v>
      </c>
      <c r="H257" s="7">
        <v>762120077583</v>
      </c>
      <c r="I257" s="8" t="s">
        <v>2447</v>
      </c>
      <c r="J257" s="4">
        <v>1</v>
      </c>
      <c r="K257" s="9">
        <v>7.99</v>
      </c>
      <c r="L257" s="9">
        <v>7.99</v>
      </c>
      <c r="M257" s="4" t="s">
        <v>2448</v>
      </c>
      <c r="N257" s="4" t="s">
        <v>2501</v>
      </c>
      <c r="O257" s="4" t="s">
        <v>2629</v>
      </c>
      <c r="P257" s="4" t="s">
        <v>2520</v>
      </c>
      <c r="Q257" s="4" t="s">
        <v>2528</v>
      </c>
      <c r="R257" s="4"/>
      <c r="S257" s="4"/>
      <c r="T257" s="4" t="str">
        <f>HYPERLINK("http://slimages.macys.com/is/image/MCY/20665865 ")</f>
        <v xml:space="preserve">http://slimages.macys.com/is/image/MCY/20665865 </v>
      </c>
    </row>
    <row r="258" spans="1:20" ht="15" customHeight="1" x14ac:dyDescent="0.25">
      <c r="A258" s="4" t="s">
        <v>2489</v>
      </c>
      <c r="B258" s="2" t="s">
        <v>2487</v>
      </c>
      <c r="C258" s="2" t="s">
        <v>2488</v>
      </c>
      <c r="D258" s="5" t="s">
        <v>2490</v>
      </c>
      <c r="E258" s="4" t="s">
        <v>2491</v>
      </c>
      <c r="F258" s="6">
        <v>14278836</v>
      </c>
      <c r="G258" s="3">
        <v>14278836</v>
      </c>
      <c r="H258" s="7">
        <v>762120084505</v>
      </c>
      <c r="I258" s="8" t="s">
        <v>3122</v>
      </c>
      <c r="J258" s="4">
        <v>1</v>
      </c>
      <c r="K258" s="9">
        <v>7.99</v>
      </c>
      <c r="L258" s="9">
        <v>7.99</v>
      </c>
      <c r="M258" s="4" t="s">
        <v>3123</v>
      </c>
      <c r="N258" s="4" t="s">
        <v>2501</v>
      </c>
      <c r="O258" s="4" t="s">
        <v>2650</v>
      </c>
      <c r="P258" s="4" t="s">
        <v>2602</v>
      </c>
      <c r="Q258" s="4" t="s">
        <v>2528</v>
      </c>
      <c r="R258" s="4"/>
      <c r="S258" s="4"/>
      <c r="T258" s="4" t="str">
        <f>HYPERLINK("http://slimages.macys.com/is/image/MCY/20691765 ")</f>
        <v xml:space="preserve">http://slimages.macys.com/is/image/MCY/20691765 </v>
      </c>
    </row>
    <row r="259" spans="1:20" ht="15" customHeight="1" x14ac:dyDescent="0.25">
      <c r="A259" s="4" t="s">
        <v>2489</v>
      </c>
      <c r="B259" s="2" t="s">
        <v>2487</v>
      </c>
      <c r="C259" s="2" t="s">
        <v>2488</v>
      </c>
      <c r="D259" s="5" t="s">
        <v>2490</v>
      </c>
      <c r="E259" s="4" t="s">
        <v>2491</v>
      </c>
      <c r="F259" s="6">
        <v>14278836</v>
      </c>
      <c r="G259" s="3">
        <v>14278836</v>
      </c>
      <c r="H259" s="7">
        <v>762120160926</v>
      </c>
      <c r="I259" s="8" t="s">
        <v>1805</v>
      </c>
      <c r="J259" s="4">
        <v>1</v>
      </c>
      <c r="K259" s="9">
        <v>7.99</v>
      </c>
      <c r="L259" s="9">
        <v>7.99</v>
      </c>
      <c r="M259" s="4" t="s">
        <v>3425</v>
      </c>
      <c r="N259" s="4" t="s">
        <v>2731</v>
      </c>
      <c r="O259" s="4" t="s">
        <v>2628</v>
      </c>
      <c r="P259" s="4" t="s">
        <v>2602</v>
      </c>
      <c r="Q259" s="4" t="s">
        <v>2528</v>
      </c>
      <c r="R259" s="4"/>
      <c r="S259" s="4"/>
      <c r="T259" s="4" t="str">
        <f>HYPERLINK("http://slimages.macys.com/is/image/MCY/20819725 ")</f>
        <v xml:space="preserve">http://slimages.macys.com/is/image/MCY/20819725 </v>
      </c>
    </row>
    <row r="260" spans="1:20" ht="15" customHeight="1" x14ac:dyDescent="0.25">
      <c r="A260" s="4" t="s">
        <v>2489</v>
      </c>
      <c r="B260" s="2" t="s">
        <v>2487</v>
      </c>
      <c r="C260" s="2" t="s">
        <v>2488</v>
      </c>
      <c r="D260" s="5" t="s">
        <v>2490</v>
      </c>
      <c r="E260" s="4" t="s">
        <v>2491</v>
      </c>
      <c r="F260" s="6">
        <v>14278836</v>
      </c>
      <c r="G260" s="3">
        <v>14278836</v>
      </c>
      <c r="H260" s="7">
        <v>733004297687</v>
      </c>
      <c r="I260" s="8" t="s">
        <v>1846</v>
      </c>
      <c r="J260" s="4">
        <v>1</v>
      </c>
      <c r="K260" s="9">
        <v>27.99</v>
      </c>
      <c r="L260" s="9">
        <v>27.99</v>
      </c>
      <c r="M260" s="4" t="s">
        <v>2949</v>
      </c>
      <c r="N260" s="4" t="s">
        <v>2501</v>
      </c>
      <c r="O260" s="4" t="s">
        <v>2498</v>
      </c>
      <c r="P260" s="4" t="s">
        <v>2515</v>
      </c>
      <c r="Q260" s="4" t="s">
        <v>2672</v>
      </c>
      <c r="R260" s="4"/>
      <c r="S260" s="4"/>
      <c r="T260" s="4" t="str">
        <f>HYPERLINK("http://slimages.macys.com/is/image/MCY/20143279 ")</f>
        <v xml:space="preserve">http://slimages.macys.com/is/image/MCY/20143279 </v>
      </c>
    </row>
    <row r="261" spans="1:20" ht="15" customHeight="1" x14ac:dyDescent="0.25">
      <c r="A261" s="4" t="s">
        <v>2489</v>
      </c>
      <c r="B261" s="2" t="s">
        <v>2487</v>
      </c>
      <c r="C261" s="2" t="s">
        <v>2488</v>
      </c>
      <c r="D261" s="5" t="s">
        <v>2490</v>
      </c>
      <c r="E261" s="4" t="s">
        <v>2491</v>
      </c>
      <c r="F261" s="6">
        <v>14278836</v>
      </c>
      <c r="G261" s="3">
        <v>14278836</v>
      </c>
      <c r="H261" s="7">
        <v>733003929565</v>
      </c>
      <c r="I261" s="8" t="s">
        <v>2449</v>
      </c>
      <c r="J261" s="4">
        <v>1</v>
      </c>
      <c r="K261" s="9">
        <v>6.99</v>
      </c>
      <c r="L261" s="9">
        <v>6.99</v>
      </c>
      <c r="M261" s="4" t="s">
        <v>2880</v>
      </c>
      <c r="N261" s="4" t="s">
        <v>2526</v>
      </c>
      <c r="O261" s="4" t="s">
        <v>2601</v>
      </c>
      <c r="P261" s="4" t="s">
        <v>2503</v>
      </c>
      <c r="Q261" s="4" t="s">
        <v>2504</v>
      </c>
      <c r="R261" s="4"/>
      <c r="S261" s="4"/>
      <c r="T261" s="4" t="str">
        <f>HYPERLINK("http://slimages.macys.com/is/image/MCY/19996678 ")</f>
        <v xml:space="preserve">http://slimages.macys.com/is/image/MCY/19996678 </v>
      </c>
    </row>
    <row r="262" spans="1:20" ht="15" customHeight="1" x14ac:dyDescent="0.25">
      <c r="A262" s="4" t="s">
        <v>2489</v>
      </c>
      <c r="B262" s="2" t="s">
        <v>2487</v>
      </c>
      <c r="C262" s="2" t="s">
        <v>2488</v>
      </c>
      <c r="D262" s="5" t="s">
        <v>2490</v>
      </c>
      <c r="E262" s="4" t="s">
        <v>2491</v>
      </c>
      <c r="F262" s="6">
        <v>14278836</v>
      </c>
      <c r="G262" s="3">
        <v>14278836</v>
      </c>
      <c r="H262" s="7">
        <v>194135419988</v>
      </c>
      <c r="I262" s="8" t="s">
        <v>2450</v>
      </c>
      <c r="J262" s="4">
        <v>1</v>
      </c>
      <c r="K262" s="9">
        <v>12.71</v>
      </c>
      <c r="L262" s="9">
        <v>12.71</v>
      </c>
      <c r="M262" s="4" t="s">
        <v>2206</v>
      </c>
      <c r="N262" s="4"/>
      <c r="O262" s="4" t="s">
        <v>2524</v>
      </c>
      <c r="P262" s="4" t="s">
        <v>2657</v>
      </c>
      <c r="Q262" s="4" t="s">
        <v>2716</v>
      </c>
      <c r="R262" s="4"/>
      <c r="S262" s="4"/>
      <c r="T262" s="4" t="str">
        <f>HYPERLINK("http://slimages.macys.com/is/image/MCY/19917050 ")</f>
        <v xml:space="preserve">http://slimages.macys.com/is/image/MCY/19917050 </v>
      </c>
    </row>
    <row r="263" spans="1:20" ht="15" customHeight="1" x14ac:dyDescent="0.25">
      <c r="A263" s="4" t="s">
        <v>2489</v>
      </c>
      <c r="B263" s="2" t="s">
        <v>2487</v>
      </c>
      <c r="C263" s="2" t="s">
        <v>2488</v>
      </c>
      <c r="D263" s="5" t="s">
        <v>2490</v>
      </c>
      <c r="E263" s="4" t="s">
        <v>2491</v>
      </c>
      <c r="F263" s="6">
        <v>14278836</v>
      </c>
      <c r="G263" s="3">
        <v>14278836</v>
      </c>
      <c r="H263" s="7">
        <v>194135596887</v>
      </c>
      <c r="I263" s="8" t="s">
        <v>2451</v>
      </c>
      <c r="J263" s="4">
        <v>1</v>
      </c>
      <c r="K263" s="9">
        <v>12.71</v>
      </c>
      <c r="L263" s="9">
        <v>12.71</v>
      </c>
      <c r="M263" s="4" t="s">
        <v>2452</v>
      </c>
      <c r="N263" s="4"/>
      <c r="O263" s="4"/>
      <c r="P263" s="4" t="s">
        <v>2657</v>
      </c>
      <c r="Q263" s="4" t="s">
        <v>2716</v>
      </c>
      <c r="R263" s="4"/>
      <c r="S263" s="4"/>
      <c r="T263" s="4" t="str">
        <f>HYPERLINK("http://slimages.macys.com/is/image/MCY/19967993 ")</f>
        <v xml:space="preserve">http://slimages.macys.com/is/image/MCY/19967993 </v>
      </c>
    </row>
    <row r="264" spans="1:20" ht="15" customHeight="1" x14ac:dyDescent="0.25">
      <c r="A264" s="4" t="s">
        <v>2489</v>
      </c>
      <c r="B264" s="2" t="s">
        <v>2487</v>
      </c>
      <c r="C264" s="2" t="s">
        <v>2488</v>
      </c>
      <c r="D264" s="5" t="s">
        <v>2490</v>
      </c>
      <c r="E264" s="4" t="s">
        <v>2491</v>
      </c>
      <c r="F264" s="6">
        <v>14278836</v>
      </c>
      <c r="G264" s="3">
        <v>14278836</v>
      </c>
      <c r="H264" s="7">
        <v>193666880120</v>
      </c>
      <c r="I264" s="8" t="s">
        <v>2453</v>
      </c>
      <c r="J264" s="4">
        <v>1</v>
      </c>
      <c r="K264" s="9">
        <v>30.99</v>
      </c>
      <c r="L264" s="9">
        <v>30.99</v>
      </c>
      <c r="M264" s="4">
        <v>2153</v>
      </c>
      <c r="N264" s="4" t="s">
        <v>2454</v>
      </c>
      <c r="O264" s="4" t="s">
        <v>2519</v>
      </c>
      <c r="P264" s="4" t="s">
        <v>2569</v>
      </c>
      <c r="Q264" s="4" t="s">
        <v>3173</v>
      </c>
      <c r="R264" s="4"/>
      <c r="S264" s="4"/>
      <c r="T264" s="4" t="str">
        <f>HYPERLINK("http://slimages.macys.com/is/image/MCY/20586522 ")</f>
        <v xml:space="preserve">http://slimages.macys.com/is/image/MCY/20586522 </v>
      </c>
    </row>
    <row r="265" spans="1:20" ht="15" customHeight="1" x14ac:dyDescent="0.25">
      <c r="A265" s="4" t="s">
        <v>2489</v>
      </c>
      <c r="B265" s="2" t="s">
        <v>2487</v>
      </c>
      <c r="C265" s="2" t="s">
        <v>2488</v>
      </c>
      <c r="D265" s="5" t="s">
        <v>2490</v>
      </c>
      <c r="E265" s="4" t="s">
        <v>2491</v>
      </c>
      <c r="F265" s="6">
        <v>14278836</v>
      </c>
      <c r="G265" s="3">
        <v>14278836</v>
      </c>
      <c r="H265" s="7">
        <v>733003070953</v>
      </c>
      <c r="I265" s="8" t="s">
        <v>2455</v>
      </c>
      <c r="J265" s="4">
        <v>1</v>
      </c>
      <c r="K265" s="9">
        <v>7.99</v>
      </c>
      <c r="L265" s="9">
        <v>7.99</v>
      </c>
      <c r="M265" s="4" t="s">
        <v>2456</v>
      </c>
      <c r="N265" s="4" t="s">
        <v>2501</v>
      </c>
      <c r="O265" s="4" t="s">
        <v>2650</v>
      </c>
      <c r="P265" s="4" t="s">
        <v>2602</v>
      </c>
      <c r="Q265" s="4" t="s">
        <v>2528</v>
      </c>
      <c r="R265" s="4"/>
      <c r="S265" s="4"/>
      <c r="T265" s="4" t="str">
        <f>HYPERLINK("http://slimages.macys.com/is/image/MCY/19479566 ")</f>
        <v xml:space="preserve">http://slimages.macys.com/is/image/MCY/19479566 </v>
      </c>
    </row>
    <row r="266" spans="1:20" ht="15" customHeight="1" x14ac:dyDescent="0.25">
      <c r="A266" s="4" t="s">
        <v>2489</v>
      </c>
      <c r="B266" s="2" t="s">
        <v>2487</v>
      </c>
      <c r="C266" s="2" t="s">
        <v>2488</v>
      </c>
      <c r="D266" s="5" t="s">
        <v>2490</v>
      </c>
      <c r="E266" s="4" t="s">
        <v>2491</v>
      </c>
      <c r="F266" s="6">
        <v>14278836</v>
      </c>
      <c r="G266" s="3">
        <v>14278836</v>
      </c>
      <c r="H266" s="7">
        <v>194135714779</v>
      </c>
      <c r="I266" s="8" t="s">
        <v>2457</v>
      </c>
      <c r="J266" s="4">
        <v>1</v>
      </c>
      <c r="K266" s="9">
        <v>22.52</v>
      </c>
      <c r="L266" s="9">
        <v>22.52</v>
      </c>
      <c r="M266" s="4" t="s">
        <v>2332</v>
      </c>
      <c r="N266" s="4" t="s">
        <v>2514</v>
      </c>
      <c r="O266" s="4" t="s">
        <v>2591</v>
      </c>
      <c r="P266" s="4" t="s">
        <v>2494</v>
      </c>
      <c r="Q266" s="4" t="s">
        <v>2495</v>
      </c>
      <c r="R266" s="4"/>
      <c r="S266" s="4"/>
      <c r="T266" s="4" t="str">
        <f>HYPERLINK("http://slimages.macys.com/is/image/MCY/19974182 ")</f>
        <v xml:space="preserve">http://slimages.macys.com/is/image/MCY/19974182 </v>
      </c>
    </row>
    <row r="267" spans="1:20" ht="15" customHeight="1" x14ac:dyDescent="0.25">
      <c r="A267" s="4" t="s">
        <v>2489</v>
      </c>
      <c r="B267" s="2" t="s">
        <v>2487</v>
      </c>
      <c r="C267" s="2" t="s">
        <v>2488</v>
      </c>
      <c r="D267" s="5" t="s">
        <v>2490</v>
      </c>
      <c r="E267" s="4" t="s">
        <v>2491</v>
      </c>
      <c r="F267" s="6">
        <v>14278836</v>
      </c>
      <c r="G267" s="3">
        <v>14278836</v>
      </c>
      <c r="H267" s="7">
        <v>762120162340</v>
      </c>
      <c r="I267" s="8" t="s">
        <v>3415</v>
      </c>
      <c r="J267" s="4">
        <v>4</v>
      </c>
      <c r="K267" s="9">
        <v>11.99</v>
      </c>
      <c r="L267" s="9">
        <v>47.96</v>
      </c>
      <c r="M267" s="4" t="s">
        <v>2631</v>
      </c>
      <c r="N267" s="4" t="s">
        <v>2632</v>
      </c>
      <c r="O267" s="4">
        <v>6</v>
      </c>
      <c r="P267" s="4" t="s">
        <v>2602</v>
      </c>
      <c r="Q267" s="4" t="s">
        <v>2528</v>
      </c>
      <c r="R267" s="4"/>
      <c r="S267" s="4"/>
      <c r="T267" s="4" t="str">
        <f>HYPERLINK("http://slimages.macys.com/is/image/MCY/20819681 ")</f>
        <v xml:space="preserve">http://slimages.macys.com/is/image/MCY/20819681 </v>
      </c>
    </row>
    <row r="268" spans="1:20" ht="15" customHeight="1" x14ac:dyDescent="0.25">
      <c r="A268" s="4" t="s">
        <v>2489</v>
      </c>
      <c r="B268" s="2" t="s">
        <v>2487</v>
      </c>
      <c r="C268" s="2" t="s">
        <v>2488</v>
      </c>
      <c r="D268" s="5" t="s">
        <v>2490</v>
      </c>
      <c r="E268" s="4" t="s">
        <v>2491</v>
      </c>
      <c r="F268" s="6">
        <v>14278836</v>
      </c>
      <c r="G268" s="3">
        <v>14278836</v>
      </c>
      <c r="H268" s="7">
        <v>733004883705</v>
      </c>
      <c r="I268" s="8" t="s">
        <v>2458</v>
      </c>
      <c r="J268" s="4">
        <v>1</v>
      </c>
      <c r="K268" s="9">
        <v>6.99</v>
      </c>
      <c r="L268" s="9">
        <v>6.99</v>
      </c>
      <c r="M268" s="4" t="s">
        <v>2826</v>
      </c>
      <c r="N268" s="4" t="s">
        <v>2505</v>
      </c>
      <c r="O268" s="4" t="s">
        <v>2559</v>
      </c>
      <c r="P268" s="4" t="s">
        <v>2503</v>
      </c>
      <c r="Q268" s="4" t="s">
        <v>2504</v>
      </c>
      <c r="R268" s="4"/>
      <c r="S268" s="4"/>
      <c r="T268" s="4" t="str">
        <f>HYPERLINK("http://slimages.macys.com/is/image/MCY/1070793 ")</f>
        <v xml:space="preserve">http://slimages.macys.com/is/image/MCY/1070793 </v>
      </c>
    </row>
    <row r="269" spans="1:20" ht="15" customHeight="1" x14ac:dyDescent="0.25">
      <c r="A269" s="4" t="s">
        <v>2489</v>
      </c>
      <c r="B269" s="2" t="s">
        <v>2487</v>
      </c>
      <c r="C269" s="2" t="s">
        <v>2488</v>
      </c>
      <c r="D269" s="5" t="s">
        <v>2490</v>
      </c>
      <c r="E269" s="4" t="s">
        <v>2491</v>
      </c>
      <c r="F269" s="6">
        <v>14278836</v>
      </c>
      <c r="G269" s="3">
        <v>14278836</v>
      </c>
      <c r="H269" s="7">
        <v>762120022941</v>
      </c>
      <c r="I269" s="8" t="s">
        <v>2459</v>
      </c>
      <c r="J269" s="4">
        <v>3</v>
      </c>
      <c r="K269" s="9">
        <v>7.99</v>
      </c>
      <c r="L269" s="9">
        <v>23.97</v>
      </c>
      <c r="M269" s="4" t="s">
        <v>2337</v>
      </c>
      <c r="N269" s="4" t="s">
        <v>2518</v>
      </c>
      <c r="O269" s="4" t="s">
        <v>2629</v>
      </c>
      <c r="P269" s="4" t="s">
        <v>2503</v>
      </c>
      <c r="Q269" s="4" t="s">
        <v>2504</v>
      </c>
      <c r="R269" s="4"/>
      <c r="S269" s="4"/>
      <c r="T269" s="4" t="str">
        <f>HYPERLINK("http://slimages.macys.com/is/image/MCY/19977730 ")</f>
        <v xml:space="preserve">http://slimages.macys.com/is/image/MCY/19977730 </v>
      </c>
    </row>
    <row r="270" spans="1:20" ht="15" customHeight="1" x14ac:dyDescent="0.25">
      <c r="A270" s="4" t="s">
        <v>2489</v>
      </c>
      <c r="B270" s="2" t="s">
        <v>2487</v>
      </c>
      <c r="C270" s="2" t="s">
        <v>2488</v>
      </c>
      <c r="D270" s="5" t="s">
        <v>2490</v>
      </c>
      <c r="E270" s="4" t="s">
        <v>2491</v>
      </c>
      <c r="F270" s="6">
        <v>14278836</v>
      </c>
      <c r="G270" s="3">
        <v>14278836</v>
      </c>
      <c r="H270" s="7">
        <v>733001124993</v>
      </c>
      <c r="I270" s="8" t="s">
        <v>2460</v>
      </c>
      <c r="J270" s="4">
        <v>4</v>
      </c>
      <c r="K270" s="9">
        <v>7.99</v>
      </c>
      <c r="L270" s="9">
        <v>31.96</v>
      </c>
      <c r="M270" s="4" t="s">
        <v>2757</v>
      </c>
      <c r="N270" s="4" t="s">
        <v>2501</v>
      </c>
      <c r="O270" s="4" t="s">
        <v>2628</v>
      </c>
      <c r="P270" s="4" t="s">
        <v>2503</v>
      </c>
      <c r="Q270" s="4" t="s">
        <v>2504</v>
      </c>
      <c r="R270" s="4"/>
      <c r="S270" s="4"/>
      <c r="T270" s="4" t="str">
        <f>HYPERLINK("http://slimages.macys.com/is/image/MCY/14885497 ")</f>
        <v xml:space="preserve">http://slimages.macys.com/is/image/MCY/14885497 </v>
      </c>
    </row>
    <row r="271" spans="1:20" ht="15" customHeight="1" x14ac:dyDescent="0.25">
      <c r="A271" s="4" t="s">
        <v>2489</v>
      </c>
      <c r="B271" s="2" t="s">
        <v>2487</v>
      </c>
      <c r="C271" s="2" t="s">
        <v>2488</v>
      </c>
      <c r="D271" s="5" t="s">
        <v>2490</v>
      </c>
      <c r="E271" s="4" t="s">
        <v>2491</v>
      </c>
      <c r="F271" s="6">
        <v>14278836</v>
      </c>
      <c r="G271" s="3">
        <v>14278836</v>
      </c>
      <c r="H271" s="7">
        <v>762120023474</v>
      </c>
      <c r="I271" s="8" t="s">
        <v>1811</v>
      </c>
      <c r="J271" s="4">
        <v>1</v>
      </c>
      <c r="K271" s="9">
        <v>6.99</v>
      </c>
      <c r="L271" s="9">
        <v>6.99</v>
      </c>
      <c r="M271" s="4" t="s">
        <v>2517</v>
      </c>
      <c r="N271" s="4" t="s">
        <v>2565</v>
      </c>
      <c r="O271" s="4" t="s">
        <v>2493</v>
      </c>
      <c r="P271" s="4" t="s">
        <v>2503</v>
      </c>
      <c r="Q271" s="4" t="s">
        <v>2504</v>
      </c>
      <c r="R271" s="4"/>
      <c r="S271" s="4"/>
      <c r="T271" s="4" t="str">
        <f>HYPERLINK("http://slimages.macys.com/is/image/MCY/19977451 ")</f>
        <v xml:space="preserve">http://slimages.macys.com/is/image/MCY/19977451 </v>
      </c>
    </row>
    <row r="272" spans="1:20" ht="15" customHeight="1" x14ac:dyDescent="0.25">
      <c r="A272" s="4" t="s">
        <v>2489</v>
      </c>
      <c r="B272" s="2" t="s">
        <v>2487</v>
      </c>
      <c r="C272" s="2" t="s">
        <v>2488</v>
      </c>
      <c r="D272" s="5" t="s">
        <v>2490</v>
      </c>
      <c r="E272" s="4" t="s">
        <v>2491</v>
      </c>
      <c r="F272" s="6">
        <v>14278836</v>
      </c>
      <c r="G272" s="3">
        <v>14278836</v>
      </c>
      <c r="H272" s="7">
        <v>733004738531</v>
      </c>
      <c r="I272" s="8" t="s">
        <v>2461</v>
      </c>
      <c r="J272" s="4">
        <v>1</v>
      </c>
      <c r="K272" s="9">
        <v>6.99</v>
      </c>
      <c r="L272" s="9">
        <v>6.99</v>
      </c>
      <c r="M272" s="4" t="s">
        <v>2462</v>
      </c>
      <c r="N272" s="4" t="s">
        <v>2501</v>
      </c>
      <c r="O272" s="4" t="s">
        <v>2493</v>
      </c>
      <c r="P272" s="4" t="s">
        <v>2503</v>
      </c>
      <c r="Q272" s="4" t="s">
        <v>2504</v>
      </c>
      <c r="R272" s="4"/>
      <c r="S272" s="4"/>
      <c r="T272" s="4" t="str">
        <f>HYPERLINK("http://slimages.macys.com/is/image/MCY/19978055 ")</f>
        <v xml:space="preserve">http://slimages.macys.com/is/image/MCY/19978055 </v>
      </c>
    </row>
    <row r="273" spans="1:20" ht="15" customHeight="1" x14ac:dyDescent="0.25">
      <c r="A273" s="4" t="s">
        <v>2489</v>
      </c>
      <c r="B273" s="2" t="s">
        <v>2487</v>
      </c>
      <c r="C273" s="2" t="s">
        <v>2488</v>
      </c>
      <c r="D273" s="5" t="s">
        <v>2490</v>
      </c>
      <c r="E273" s="4" t="s">
        <v>2491</v>
      </c>
      <c r="F273" s="6">
        <v>14278836</v>
      </c>
      <c r="G273" s="3">
        <v>14278836</v>
      </c>
      <c r="H273" s="7">
        <v>733004738500</v>
      </c>
      <c r="I273" s="8" t="s">
        <v>2463</v>
      </c>
      <c r="J273" s="4">
        <v>1</v>
      </c>
      <c r="K273" s="9">
        <v>6.99</v>
      </c>
      <c r="L273" s="9">
        <v>6.99</v>
      </c>
      <c r="M273" s="4" t="s">
        <v>2462</v>
      </c>
      <c r="N273" s="4" t="s">
        <v>2501</v>
      </c>
      <c r="O273" s="4" t="s">
        <v>2559</v>
      </c>
      <c r="P273" s="4" t="s">
        <v>2503</v>
      </c>
      <c r="Q273" s="4" t="s">
        <v>2504</v>
      </c>
      <c r="R273" s="4"/>
      <c r="S273" s="4"/>
      <c r="T273" s="4" t="str">
        <f>HYPERLINK("http://slimages.macys.com/is/image/MCY/19978055 ")</f>
        <v xml:space="preserve">http://slimages.macys.com/is/image/MCY/19978055 </v>
      </c>
    </row>
    <row r="274" spans="1:20" ht="15" customHeight="1" x14ac:dyDescent="0.25">
      <c r="A274" s="4" t="s">
        <v>2489</v>
      </c>
      <c r="B274" s="2" t="s">
        <v>2487</v>
      </c>
      <c r="C274" s="2" t="s">
        <v>2488</v>
      </c>
      <c r="D274" s="5" t="s">
        <v>2490</v>
      </c>
      <c r="E274" s="4" t="s">
        <v>2491</v>
      </c>
      <c r="F274" s="6">
        <v>14278836</v>
      </c>
      <c r="G274" s="3">
        <v>14278836</v>
      </c>
      <c r="H274" s="7">
        <v>733004884016</v>
      </c>
      <c r="I274" s="8" t="s">
        <v>2464</v>
      </c>
      <c r="J274" s="4">
        <v>1</v>
      </c>
      <c r="K274" s="9">
        <v>6.99</v>
      </c>
      <c r="L274" s="9">
        <v>6.99</v>
      </c>
      <c r="M274" s="4" t="s">
        <v>2234</v>
      </c>
      <c r="N274" s="4" t="s">
        <v>3049</v>
      </c>
      <c r="O274" s="4" t="s">
        <v>2601</v>
      </c>
      <c r="P274" s="4" t="s">
        <v>2503</v>
      </c>
      <c r="Q274" s="4" t="s">
        <v>2504</v>
      </c>
      <c r="R274" s="4"/>
      <c r="S274" s="4"/>
      <c r="T274" s="4" t="str">
        <f>HYPERLINK("http://slimages.macys.com/is/image/MCY/1041674 ")</f>
        <v xml:space="preserve">http://slimages.macys.com/is/image/MCY/1041674 </v>
      </c>
    </row>
    <row r="275" spans="1:20" ht="15" customHeight="1" x14ac:dyDescent="0.25">
      <c r="A275" s="4" t="s">
        <v>2489</v>
      </c>
      <c r="B275" s="2" t="s">
        <v>2487</v>
      </c>
      <c r="C275" s="2" t="s">
        <v>2488</v>
      </c>
      <c r="D275" s="5" t="s">
        <v>2490</v>
      </c>
      <c r="E275" s="4" t="s">
        <v>2491</v>
      </c>
      <c r="F275" s="6">
        <v>14278836</v>
      </c>
      <c r="G275" s="3">
        <v>14278836</v>
      </c>
      <c r="H275" s="7">
        <v>733003616434</v>
      </c>
      <c r="I275" s="8" t="s">
        <v>2465</v>
      </c>
      <c r="J275" s="4">
        <v>2</v>
      </c>
      <c r="K275" s="9">
        <v>7.99</v>
      </c>
      <c r="L275" s="9">
        <v>15.98</v>
      </c>
      <c r="M275" s="4" t="s">
        <v>2757</v>
      </c>
      <c r="N275" s="4" t="s">
        <v>2565</v>
      </c>
      <c r="O275" s="4" t="s">
        <v>2629</v>
      </c>
      <c r="P275" s="4" t="s">
        <v>2503</v>
      </c>
      <c r="Q275" s="4" t="s">
        <v>2504</v>
      </c>
      <c r="R275" s="4"/>
      <c r="S275" s="4"/>
      <c r="T275" s="4" t="str">
        <f>HYPERLINK("http://slimages.macys.com/is/image/MCY/8695857 ")</f>
        <v xml:space="preserve">http://slimages.macys.com/is/image/MCY/8695857 </v>
      </c>
    </row>
    <row r="276" spans="1:20" ht="15" customHeight="1" x14ac:dyDescent="0.25">
      <c r="A276" s="4" t="s">
        <v>2489</v>
      </c>
      <c r="B276" s="2" t="s">
        <v>2487</v>
      </c>
      <c r="C276" s="2" t="s">
        <v>2488</v>
      </c>
      <c r="D276" s="5" t="s">
        <v>2490</v>
      </c>
      <c r="E276" s="4" t="s">
        <v>2491</v>
      </c>
      <c r="F276" s="6">
        <v>14278836</v>
      </c>
      <c r="G276" s="3">
        <v>14278836</v>
      </c>
      <c r="H276" s="7">
        <v>733004748165</v>
      </c>
      <c r="I276" s="8" t="s">
        <v>2466</v>
      </c>
      <c r="J276" s="4">
        <v>2</v>
      </c>
      <c r="K276" s="9">
        <v>7.99</v>
      </c>
      <c r="L276" s="9">
        <v>15.98</v>
      </c>
      <c r="M276" s="4" t="s">
        <v>2467</v>
      </c>
      <c r="N276" s="4" t="s">
        <v>2518</v>
      </c>
      <c r="O276" s="4" t="s">
        <v>2650</v>
      </c>
      <c r="P276" s="4" t="s">
        <v>2503</v>
      </c>
      <c r="Q276" s="4" t="s">
        <v>2504</v>
      </c>
      <c r="R276" s="4"/>
      <c r="S276" s="4"/>
      <c r="T276" s="4" t="str">
        <f>HYPERLINK("http://slimages.macys.com/is/image/MCY/19977391 ")</f>
        <v xml:space="preserve">http://slimages.macys.com/is/image/MCY/19977391 </v>
      </c>
    </row>
    <row r="277" spans="1:20" ht="15" customHeight="1" x14ac:dyDescent="0.25">
      <c r="A277" s="4" t="s">
        <v>2489</v>
      </c>
      <c r="B277" s="2" t="s">
        <v>2487</v>
      </c>
      <c r="C277" s="2" t="s">
        <v>2488</v>
      </c>
      <c r="D277" s="5" t="s">
        <v>2490</v>
      </c>
      <c r="E277" s="4" t="s">
        <v>2491</v>
      </c>
      <c r="F277" s="6">
        <v>14278836</v>
      </c>
      <c r="G277" s="3">
        <v>14278836</v>
      </c>
      <c r="H277" s="7">
        <v>733004884375</v>
      </c>
      <c r="I277" s="8" t="s">
        <v>2468</v>
      </c>
      <c r="J277" s="4">
        <v>1</v>
      </c>
      <c r="K277" s="9">
        <v>6.99</v>
      </c>
      <c r="L277" s="9">
        <v>6.99</v>
      </c>
      <c r="M277" s="4" t="s">
        <v>2026</v>
      </c>
      <c r="N277" s="4" t="s">
        <v>2638</v>
      </c>
      <c r="O277" s="4" t="s">
        <v>2607</v>
      </c>
      <c r="P277" s="4" t="s">
        <v>2503</v>
      </c>
      <c r="Q277" s="4" t="s">
        <v>2504</v>
      </c>
      <c r="R277" s="4"/>
      <c r="S277" s="4"/>
      <c r="T277" s="4" t="str">
        <f>HYPERLINK("http://slimages.macys.com/is/image/MCY/1041673 ")</f>
        <v xml:space="preserve">http://slimages.macys.com/is/image/MCY/1041673 </v>
      </c>
    </row>
    <row r="278" spans="1:20" ht="15" customHeight="1" x14ac:dyDescent="0.25">
      <c r="A278" s="4" t="s">
        <v>2489</v>
      </c>
      <c r="B278" s="2" t="s">
        <v>2487</v>
      </c>
      <c r="C278" s="2" t="s">
        <v>2488</v>
      </c>
      <c r="D278" s="5" t="s">
        <v>2490</v>
      </c>
      <c r="E278" s="4" t="s">
        <v>2491</v>
      </c>
      <c r="F278" s="6">
        <v>14278836</v>
      </c>
      <c r="G278" s="3">
        <v>14278836</v>
      </c>
      <c r="H278" s="7">
        <v>733004748523</v>
      </c>
      <c r="I278" s="8" t="s">
        <v>2835</v>
      </c>
      <c r="J278" s="4">
        <v>2</v>
      </c>
      <c r="K278" s="9">
        <v>7.99</v>
      </c>
      <c r="L278" s="9">
        <v>15.98</v>
      </c>
      <c r="M278" s="4" t="s">
        <v>2836</v>
      </c>
      <c r="N278" s="4" t="s">
        <v>2505</v>
      </c>
      <c r="O278" s="4" t="s">
        <v>2629</v>
      </c>
      <c r="P278" s="4" t="s">
        <v>2503</v>
      </c>
      <c r="Q278" s="4" t="s">
        <v>2504</v>
      </c>
      <c r="R278" s="4"/>
      <c r="S278" s="4"/>
      <c r="T278" s="4" t="str">
        <f>HYPERLINK("http://slimages.macys.com/is/image/MCY/19977345 ")</f>
        <v xml:space="preserve">http://slimages.macys.com/is/image/MCY/19977345 </v>
      </c>
    </row>
    <row r="279" spans="1:20" ht="15" customHeight="1" x14ac:dyDescent="0.25">
      <c r="A279" s="4" t="s">
        <v>2489</v>
      </c>
      <c r="B279" s="2" t="s">
        <v>2487</v>
      </c>
      <c r="C279" s="2" t="s">
        <v>2488</v>
      </c>
      <c r="D279" s="5" t="s">
        <v>2490</v>
      </c>
      <c r="E279" s="4" t="s">
        <v>2491</v>
      </c>
      <c r="F279" s="6">
        <v>14278836</v>
      </c>
      <c r="G279" s="3">
        <v>14278836</v>
      </c>
      <c r="H279" s="7">
        <v>733004884474</v>
      </c>
      <c r="I279" s="8" t="s">
        <v>2469</v>
      </c>
      <c r="J279" s="4">
        <v>1</v>
      </c>
      <c r="K279" s="9">
        <v>8.99</v>
      </c>
      <c r="L279" s="9">
        <v>8.99</v>
      </c>
      <c r="M279" s="4" t="s">
        <v>1924</v>
      </c>
      <c r="N279" s="4" t="s">
        <v>3049</v>
      </c>
      <c r="O279" s="4" t="s">
        <v>2559</v>
      </c>
      <c r="P279" s="4" t="s">
        <v>2503</v>
      </c>
      <c r="Q279" s="4" t="s">
        <v>2504</v>
      </c>
      <c r="R279" s="4"/>
      <c r="S279" s="4"/>
      <c r="T279" s="4" t="str">
        <f>HYPERLINK("http://slimages.macys.com/is/image/MCY/20142467 ")</f>
        <v xml:space="preserve">http://slimages.macys.com/is/image/MCY/20142467 </v>
      </c>
    </row>
    <row r="280" spans="1:20" ht="15" customHeight="1" x14ac:dyDescent="0.25">
      <c r="A280" s="4" t="s">
        <v>2489</v>
      </c>
      <c r="B280" s="2" t="s">
        <v>2487</v>
      </c>
      <c r="C280" s="2" t="s">
        <v>2488</v>
      </c>
      <c r="D280" s="5" t="s">
        <v>2490</v>
      </c>
      <c r="E280" s="4" t="s">
        <v>2491</v>
      </c>
      <c r="F280" s="6">
        <v>14278836</v>
      </c>
      <c r="G280" s="3">
        <v>14278836</v>
      </c>
      <c r="H280" s="7">
        <v>762120085465</v>
      </c>
      <c r="I280" s="8" t="s">
        <v>2470</v>
      </c>
      <c r="J280" s="4">
        <v>1</v>
      </c>
      <c r="K280" s="9">
        <v>7.99</v>
      </c>
      <c r="L280" s="9">
        <v>7.99</v>
      </c>
      <c r="M280" s="4" t="s">
        <v>2929</v>
      </c>
      <c r="N280" s="4"/>
      <c r="O280" s="4" t="s">
        <v>2629</v>
      </c>
      <c r="P280" s="4" t="s">
        <v>2602</v>
      </c>
      <c r="Q280" s="4" t="s">
        <v>2528</v>
      </c>
      <c r="R280" s="4"/>
      <c r="S280" s="4"/>
      <c r="T280" s="4" t="str">
        <f>HYPERLINK("http://slimages.macys.com/is/image/MCY/20691813 ")</f>
        <v xml:space="preserve">http://slimages.macys.com/is/image/MCY/20691813 </v>
      </c>
    </row>
    <row r="281" spans="1:20" ht="15" customHeight="1" x14ac:dyDescent="0.25">
      <c r="A281" s="4" t="s">
        <v>2489</v>
      </c>
      <c r="B281" s="2" t="s">
        <v>2487</v>
      </c>
      <c r="C281" s="2" t="s">
        <v>2488</v>
      </c>
      <c r="D281" s="5" t="s">
        <v>2490</v>
      </c>
      <c r="E281" s="4" t="s">
        <v>2491</v>
      </c>
      <c r="F281" s="6">
        <v>14278836</v>
      </c>
      <c r="G281" s="3">
        <v>14278836</v>
      </c>
      <c r="H281" s="7">
        <v>762120113007</v>
      </c>
      <c r="I281" s="8" t="s">
        <v>2471</v>
      </c>
      <c r="J281" s="4">
        <v>1</v>
      </c>
      <c r="K281" s="9">
        <v>6.99</v>
      </c>
      <c r="L281" s="9">
        <v>6.99</v>
      </c>
      <c r="M281" s="4" t="s">
        <v>3332</v>
      </c>
      <c r="N281" s="4" t="s">
        <v>2571</v>
      </c>
      <c r="O281" s="4" t="s">
        <v>2493</v>
      </c>
      <c r="P281" s="4" t="s">
        <v>2503</v>
      </c>
      <c r="Q281" s="4" t="s">
        <v>2504</v>
      </c>
      <c r="R281" s="4"/>
      <c r="S281" s="4"/>
      <c r="T281" s="4" t="str">
        <f>HYPERLINK("http://slimages.macys.com/is/image/MCY/19976989 ")</f>
        <v xml:space="preserve">http://slimages.macys.com/is/image/MCY/19976989 </v>
      </c>
    </row>
    <row r="282" spans="1:20" ht="15" customHeight="1" x14ac:dyDescent="0.25">
      <c r="A282" s="4" t="s">
        <v>2489</v>
      </c>
      <c r="B282" s="2" t="s">
        <v>2487</v>
      </c>
      <c r="C282" s="2" t="s">
        <v>2488</v>
      </c>
      <c r="D282" s="5" t="s">
        <v>2490</v>
      </c>
      <c r="E282" s="4" t="s">
        <v>2491</v>
      </c>
      <c r="F282" s="6">
        <v>14278836</v>
      </c>
      <c r="G282" s="3">
        <v>14278836</v>
      </c>
      <c r="H282" s="7">
        <v>733004745850</v>
      </c>
      <c r="I282" s="8" t="s">
        <v>3271</v>
      </c>
      <c r="J282" s="4">
        <v>1</v>
      </c>
      <c r="K282" s="9">
        <v>6.99</v>
      </c>
      <c r="L282" s="9">
        <v>6.99</v>
      </c>
      <c r="M282" s="4" t="s">
        <v>2939</v>
      </c>
      <c r="N282" s="4" t="s">
        <v>2638</v>
      </c>
      <c r="O282" s="4" t="s">
        <v>2493</v>
      </c>
      <c r="P282" s="4" t="s">
        <v>2503</v>
      </c>
      <c r="Q282" s="4" t="s">
        <v>2504</v>
      </c>
      <c r="R282" s="4"/>
      <c r="S282" s="4"/>
      <c r="T282" s="4" t="str">
        <f>HYPERLINK("http://slimages.macys.com/is/image/MCY/19977792 ")</f>
        <v xml:space="preserve">http://slimages.macys.com/is/image/MCY/19977792 </v>
      </c>
    </row>
    <row r="283" spans="1:20" ht="15" customHeight="1" x14ac:dyDescent="0.25">
      <c r="A283" s="4" t="s">
        <v>2489</v>
      </c>
      <c r="B283" s="2" t="s">
        <v>2487</v>
      </c>
      <c r="C283" s="2" t="s">
        <v>2488</v>
      </c>
      <c r="D283" s="5" t="s">
        <v>2490</v>
      </c>
      <c r="E283" s="4" t="s">
        <v>2491</v>
      </c>
      <c r="F283" s="6">
        <v>14278836</v>
      </c>
      <c r="G283" s="3">
        <v>14278836</v>
      </c>
      <c r="H283" s="7">
        <v>194257539472</v>
      </c>
      <c r="I283" s="8" t="s">
        <v>2472</v>
      </c>
      <c r="J283" s="4">
        <v>1</v>
      </c>
      <c r="K283" s="9">
        <v>16.989999999999998</v>
      </c>
      <c r="L283" s="9">
        <v>16.989999999999998</v>
      </c>
      <c r="M283" s="4" t="s">
        <v>2840</v>
      </c>
      <c r="N283" s="4" t="s">
        <v>2614</v>
      </c>
      <c r="O283" s="4" t="s">
        <v>2705</v>
      </c>
      <c r="P283" s="4" t="s">
        <v>2619</v>
      </c>
      <c r="Q283" s="4" t="s">
        <v>2654</v>
      </c>
      <c r="R283" s="4"/>
      <c r="S283" s="4"/>
      <c r="T283" s="4" t="str">
        <f>HYPERLINK("http://slimages.macys.com/is/image/MCY/19091835 ")</f>
        <v xml:space="preserve">http://slimages.macys.com/is/image/MCY/19091835 </v>
      </c>
    </row>
    <row r="284" spans="1:20" ht="15" customHeight="1" x14ac:dyDescent="0.25">
      <c r="A284" s="4" t="s">
        <v>2489</v>
      </c>
      <c r="B284" s="2" t="s">
        <v>2487</v>
      </c>
      <c r="C284" s="2" t="s">
        <v>2488</v>
      </c>
      <c r="D284" s="5" t="s">
        <v>2490</v>
      </c>
      <c r="E284" s="4" t="s">
        <v>2491</v>
      </c>
      <c r="F284" s="6">
        <v>14278836</v>
      </c>
      <c r="G284" s="3">
        <v>14278836</v>
      </c>
      <c r="H284" s="7">
        <v>633731982842</v>
      </c>
      <c r="I284" s="8" t="s">
        <v>2473</v>
      </c>
      <c r="J284" s="4">
        <v>9</v>
      </c>
      <c r="K284" s="9">
        <v>32.99</v>
      </c>
      <c r="L284" s="9">
        <v>296.91000000000003</v>
      </c>
      <c r="M284" s="4" t="s">
        <v>2474</v>
      </c>
      <c r="N284" s="4" t="s">
        <v>2523</v>
      </c>
      <c r="O284" s="4">
        <v>6</v>
      </c>
      <c r="P284" s="4" t="s">
        <v>2499</v>
      </c>
      <c r="Q284" s="4" t="s">
        <v>2765</v>
      </c>
      <c r="R284" s="4" t="s">
        <v>2552</v>
      </c>
      <c r="S284" s="4" t="s">
        <v>2624</v>
      </c>
      <c r="T284" s="4" t="str">
        <f>HYPERLINK("http://slimages.macys.com/is/image/MCY/16535836 ")</f>
        <v xml:space="preserve">http://slimages.macys.com/is/image/MCY/16535836 </v>
      </c>
    </row>
    <row r="285" spans="1:20" ht="15" customHeight="1" x14ac:dyDescent="0.25">
      <c r="A285" s="4" t="s">
        <v>2489</v>
      </c>
      <c r="B285" s="2" t="s">
        <v>2487</v>
      </c>
      <c r="C285" s="2" t="s">
        <v>2488</v>
      </c>
      <c r="D285" s="5" t="s">
        <v>2490</v>
      </c>
      <c r="E285" s="4" t="s">
        <v>2491</v>
      </c>
      <c r="F285" s="6">
        <v>14278836</v>
      </c>
      <c r="G285" s="3">
        <v>14278836</v>
      </c>
      <c r="H285" s="7">
        <v>194134869258</v>
      </c>
      <c r="I285" s="8" t="s">
        <v>2475</v>
      </c>
      <c r="J285" s="4">
        <v>1</v>
      </c>
      <c r="K285" s="9">
        <v>28.89</v>
      </c>
      <c r="L285" s="9">
        <v>28.89</v>
      </c>
      <c r="M285" s="4" t="s">
        <v>2935</v>
      </c>
      <c r="N285" s="4" t="s">
        <v>2571</v>
      </c>
      <c r="O285" s="4" t="s">
        <v>2498</v>
      </c>
      <c r="P285" s="4" t="s">
        <v>2556</v>
      </c>
      <c r="Q285" s="4" t="s">
        <v>2936</v>
      </c>
      <c r="R285" s="4"/>
      <c r="S285" s="4"/>
      <c r="T285" s="4" t="str">
        <f>HYPERLINK("http://slimages.macys.com/is/image/MCY/20573196 ")</f>
        <v xml:space="preserve">http://slimages.macys.com/is/image/MCY/20573196 </v>
      </c>
    </row>
    <row r="286" spans="1:20" ht="15" customHeight="1" x14ac:dyDescent="0.25">
      <c r="A286" s="4" t="s">
        <v>2489</v>
      </c>
      <c r="B286" s="2" t="s">
        <v>2487</v>
      </c>
      <c r="C286" s="2" t="s">
        <v>2488</v>
      </c>
      <c r="D286" s="5" t="s">
        <v>2490</v>
      </c>
      <c r="E286" s="4" t="s">
        <v>2491</v>
      </c>
      <c r="F286" s="6">
        <v>14278836</v>
      </c>
      <c r="G286" s="3">
        <v>14278836</v>
      </c>
      <c r="H286" s="7">
        <v>194654727687</v>
      </c>
      <c r="I286" s="8" t="s">
        <v>3219</v>
      </c>
      <c r="J286" s="4">
        <v>1</v>
      </c>
      <c r="K286" s="9">
        <v>45</v>
      </c>
      <c r="L286" s="9">
        <v>45</v>
      </c>
      <c r="M286" s="4" t="s">
        <v>3220</v>
      </c>
      <c r="N286" s="4" t="s">
        <v>2665</v>
      </c>
      <c r="O286" s="4">
        <v>2</v>
      </c>
      <c r="P286" s="4" t="s">
        <v>2510</v>
      </c>
      <c r="Q286" s="4" t="s">
        <v>3221</v>
      </c>
      <c r="R286" s="4"/>
      <c r="S286" s="4"/>
      <c r="T286" s="4" t="str">
        <f>HYPERLINK("http://slimages.macys.com/is/image/MCY/19757527 ")</f>
        <v xml:space="preserve">http://slimages.macys.com/is/image/MCY/19757527 </v>
      </c>
    </row>
    <row r="287" spans="1:20" ht="15" customHeight="1" x14ac:dyDescent="0.25">
      <c r="A287" s="4" t="s">
        <v>2489</v>
      </c>
      <c r="B287" s="2" t="s">
        <v>2487</v>
      </c>
      <c r="C287" s="2" t="s">
        <v>2488</v>
      </c>
      <c r="D287" s="5" t="s">
        <v>2490</v>
      </c>
      <c r="E287" s="4" t="s">
        <v>2491</v>
      </c>
      <c r="F287" s="6">
        <v>14278836</v>
      </c>
      <c r="G287" s="3">
        <v>14278836</v>
      </c>
      <c r="H287" s="7">
        <v>733002942336</v>
      </c>
      <c r="I287" s="8" t="s">
        <v>2476</v>
      </c>
      <c r="J287" s="4">
        <v>1</v>
      </c>
      <c r="K287" s="9">
        <v>6.99</v>
      </c>
      <c r="L287" s="9">
        <v>6.99</v>
      </c>
      <c r="M287" s="4" t="s">
        <v>3050</v>
      </c>
      <c r="N287" s="4" t="s">
        <v>2508</v>
      </c>
      <c r="O287" s="4" t="s">
        <v>2498</v>
      </c>
      <c r="P287" s="4" t="s">
        <v>2520</v>
      </c>
      <c r="Q287" s="4" t="s">
        <v>2521</v>
      </c>
      <c r="R287" s="4"/>
      <c r="S287" s="4"/>
      <c r="T287" s="4" t="str">
        <f>HYPERLINK("http://slimages.macys.com/is/image/MCY/19254520 ")</f>
        <v xml:space="preserve">http://slimages.macys.com/is/image/MCY/19254520 </v>
      </c>
    </row>
    <row r="288" spans="1:20" ht="15" customHeight="1" x14ac:dyDescent="0.25">
      <c r="A288" s="4" t="s">
        <v>2489</v>
      </c>
      <c r="B288" s="2" t="s">
        <v>2487</v>
      </c>
      <c r="C288" s="2" t="s">
        <v>2488</v>
      </c>
      <c r="D288" s="5" t="s">
        <v>2490</v>
      </c>
      <c r="E288" s="4" t="s">
        <v>2491</v>
      </c>
      <c r="F288" s="6">
        <v>14278836</v>
      </c>
      <c r="G288" s="3">
        <v>14278836</v>
      </c>
      <c r="H288" s="7">
        <v>733002944286</v>
      </c>
      <c r="I288" s="8" t="s">
        <v>1847</v>
      </c>
      <c r="J288" s="4">
        <v>1</v>
      </c>
      <c r="K288" s="9">
        <v>5.99</v>
      </c>
      <c r="L288" s="9">
        <v>5.99</v>
      </c>
      <c r="M288" s="4" t="s">
        <v>3232</v>
      </c>
      <c r="N288" s="4" t="s">
        <v>2508</v>
      </c>
      <c r="O288" s="4">
        <v>7</v>
      </c>
      <c r="P288" s="4" t="s">
        <v>2520</v>
      </c>
      <c r="Q288" s="4" t="s">
        <v>2528</v>
      </c>
      <c r="R288" s="4"/>
      <c r="S288" s="4"/>
      <c r="T288" s="4" t="str">
        <f>HYPERLINK("http://slimages.macys.com/is/image/MCY/19239511 ")</f>
        <v xml:space="preserve">http://slimages.macys.com/is/image/MCY/19239511 </v>
      </c>
    </row>
    <row r="289" spans="1:20" ht="15" customHeight="1" x14ac:dyDescent="0.25">
      <c r="A289" s="4" t="s">
        <v>2489</v>
      </c>
      <c r="B289" s="2" t="s">
        <v>2487</v>
      </c>
      <c r="C289" s="2" t="s">
        <v>2488</v>
      </c>
      <c r="D289" s="5" t="s">
        <v>2490</v>
      </c>
      <c r="E289" s="4" t="s">
        <v>2491</v>
      </c>
      <c r="F289" s="6">
        <v>14278836</v>
      </c>
      <c r="G289" s="3">
        <v>14278836</v>
      </c>
      <c r="H289" s="7">
        <v>194135410039</v>
      </c>
      <c r="I289" s="8" t="s">
        <v>2477</v>
      </c>
      <c r="J289" s="4">
        <v>1</v>
      </c>
      <c r="K289" s="9">
        <v>17.29</v>
      </c>
      <c r="L289" s="9">
        <v>17.29</v>
      </c>
      <c r="M289" s="4" t="s">
        <v>2478</v>
      </c>
      <c r="N289" s="4"/>
      <c r="O289" s="4" t="s">
        <v>2559</v>
      </c>
      <c r="P289" s="4" t="s">
        <v>2494</v>
      </c>
      <c r="Q289" s="4" t="s">
        <v>2495</v>
      </c>
      <c r="R289" s="4"/>
      <c r="S289" s="4"/>
      <c r="T289" s="4" t="str">
        <f>HYPERLINK("http://slimages.macys.com/is/image/MCY/19916018 ")</f>
        <v xml:space="preserve">http://slimages.macys.com/is/image/MCY/19916018 </v>
      </c>
    </row>
    <row r="290" spans="1:20" ht="15" customHeight="1" x14ac:dyDescent="0.25">
      <c r="A290" s="4" t="s">
        <v>2489</v>
      </c>
      <c r="B290" s="2" t="s">
        <v>2487</v>
      </c>
      <c r="C290" s="2" t="s">
        <v>2488</v>
      </c>
      <c r="D290" s="5" t="s">
        <v>2490</v>
      </c>
      <c r="E290" s="4" t="s">
        <v>2491</v>
      </c>
      <c r="F290" s="6">
        <v>14278836</v>
      </c>
      <c r="G290" s="3">
        <v>14278836</v>
      </c>
      <c r="H290" s="7">
        <v>733004780127</v>
      </c>
      <c r="I290" s="8" t="s">
        <v>3125</v>
      </c>
      <c r="J290" s="4">
        <v>1</v>
      </c>
      <c r="K290" s="9">
        <v>7.99</v>
      </c>
      <c r="L290" s="9">
        <v>7.99</v>
      </c>
      <c r="M290" s="4" t="s">
        <v>3126</v>
      </c>
      <c r="N290" s="4" t="s">
        <v>2567</v>
      </c>
      <c r="O290" s="4">
        <v>6</v>
      </c>
      <c r="P290" s="4" t="s">
        <v>2602</v>
      </c>
      <c r="Q290" s="4" t="s">
        <v>2528</v>
      </c>
      <c r="R290" s="4"/>
      <c r="S290" s="4"/>
      <c r="T290" s="4" t="str">
        <f>HYPERLINK("http://slimages.macys.com/is/image/MCY/20450165 ")</f>
        <v xml:space="preserve">http://slimages.macys.com/is/image/MCY/20450165 </v>
      </c>
    </row>
    <row r="291" spans="1:20" ht="15" customHeight="1" x14ac:dyDescent="0.25">
      <c r="A291" s="4" t="s">
        <v>2489</v>
      </c>
      <c r="B291" s="2" t="s">
        <v>2487</v>
      </c>
      <c r="C291" s="2" t="s">
        <v>2488</v>
      </c>
      <c r="D291" s="5" t="s">
        <v>2490</v>
      </c>
      <c r="E291" s="4" t="s">
        <v>2491</v>
      </c>
      <c r="F291" s="6">
        <v>14278836</v>
      </c>
      <c r="G291" s="3">
        <v>14278836</v>
      </c>
      <c r="H291" s="7">
        <v>766370085244</v>
      </c>
      <c r="I291" s="8" t="s">
        <v>2479</v>
      </c>
      <c r="J291" s="4">
        <v>1</v>
      </c>
      <c r="K291" s="9">
        <v>24.99</v>
      </c>
      <c r="L291" s="9">
        <v>24.99</v>
      </c>
      <c r="M291" s="4" t="s">
        <v>1116</v>
      </c>
      <c r="N291" s="4" t="s">
        <v>2567</v>
      </c>
      <c r="O291" s="4" t="s">
        <v>2650</v>
      </c>
      <c r="P291" s="4" t="s">
        <v>2520</v>
      </c>
      <c r="Q291" s="4" t="s">
        <v>2528</v>
      </c>
      <c r="R291" s="4"/>
      <c r="S291" s="4"/>
      <c r="T291" s="4" t="str">
        <f>HYPERLINK("http://slimages.macys.com/is/image/MCY/1473054 ")</f>
        <v xml:space="preserve">http://slimages.macys.com/is/image/MCY/1473054 </v>
      </c>
    </row>
    <row r="292" spans="1:20" ht="15" customHeight="1" x14ac:dyDescent="0.25">
      <c r="A292" s="4" t="s">
        <v>2489</v>
      </c>
      <c r="B292" s="2" t="s">
        <v>2487</v>
      </c>
      <c r="C292" s="2" t="s">
        <v>2488</v>
      </c>
      <c r="D292" s="5" t="s">
        <v>2490</v>
      </c>
      <c r="E292" s="4" t="s">
        <v>2491</v>
      </c>
      <c r="F292" s="6">
        <v>14278836</v>
      </c>
      <c r="G292" s="3">
        <v>14278836</v>
      </c>
      <c r="H292" s="7">
        <v>194870456774</v>
      </c>
      <c r="I292" s="8" t="s">
        <v>1117</v>
      </c>
      <c r="J292" s="4">
        <v>1</v>
      </c>
      <c r="K292" s="9">
        <v>30.99</v>
      </c>
      <c r="L292" s="9">
        <v>30.99</v>
      </c>
      <c r="M292" s="4" t="s">
        <v>1118</v>
      </c>
      <c r="N292" s="4" t="s">
        <v>2804</v>
      </c>
      <c r="O292" s="4" t="s">
        <v>2498</v>
      </c>
      <c r="P292" s="4" t="s">
        <v>2499</v>
      </c>
      <c r="Q292" s="4" t="s">
        <v>2694</v>
      </c>
      <c r="R292" s="4"/>
      <c r="S292" s="4"/>
      <c r="T292" s="4" t="str">
        <f>HYPERLINK("http://slimages.macys.com/is/image/MCY/19605753 ")</f>
        <v xml:space="preserve">http://slimages.macys.com/is/image/MCY/19605753 </v>
      </c>
    </row>
    <row r="293" spans="1:20" ht="15" customHeight="1" x14ac:dyDescent="0.25">
      <c r="A293" s="4" t="s">
        <v>2489</v>
      </c>
      <c r="B293" s="2" t="s">
        <v>2487</v>
      </c>
      <c r="C293" s="2" t="s">
        <v>2488</v>
      </c>
      <c r="D293" s="5" t="s">
        <v>2490</v>
      </c>
      <c r="E293" s="4" t="s">
        <v>2491</v>
      </c>
      <c r="F293" s="6">
        <v>14278836</v>
      </c>
      <c r="G293" s="3">
        <v>14278836</v>
      </c>
      <c r="H293" s="7">
        <v>196027059494</v>
      </c>
      <c r="I293" s="8" t="s">
        <v>1119</v>
      </c>
      <c r="J293" s="4">
        <v>4</v>
      </c>
      <c r="K293" s="9">
        <v>30.99</v>
      </c>
      <c r="L293" s="9">
        <v>123.96</v>
      </c>
      <c r="M293" s="4" t="s">
        <v>1120</v>
      </c>
      <c r="N293" s="4" t="s">
        <v>2544</v>
      </c>
      <c r="O293" s="4">
        <v>8</v>
      </c>
      <c r="P293" s="4" t="s">
        <v>2569</v>
      </c>
      <c r="Q293" s="4" t="s">
        <v>2570</v>
      </c>
      <c r="R293" s="4"/>
      <c r="S293" s="4"/>
      <c r="T293" s="4" t="str">
        <f>HYPERLINK("http://slimages.macys.com/is/image/MCY/20592641 ")</f>
        <v xml:space="preserve">http://slimages.macys.com/is/image/MCY/20592641 </v>
      </c>
    </row>
    <row r="294" spans="1:20" ht="15" customHeight="1" x14ac:dyDescent="0.25">
      <c r="A294" s="4" t="s">
        <v>2489</v>
      </c>
      <c r="B294" s="2" t="s">
        <v>2487</v>
      </c>
      <c r="C294" s="2" t="s">
        <v>2488</v>
      </c>
      <c r="D294" s="5" t="s">
        <v>2490</v>
      </c>
      <c r="E294" s="4" t="s">
        <v>2491</v>
      </c>
      <c r="F294" s="6">
        <v>14278836</v>
      </c>
      <c r="G294" s="3">
        <v>14278836</v>
      </c>
      <c r="H294" s="7">
        <v>762120162371</v>
      </c>
      <c r="I294" s="8" t="s">
        <v>2630</v>
      </c>
      <c r="J294" s="4">
        <v>1</v>
      </c>
      <c r="K294" s="9">
        <v>11.99</v>
      </c>
      <c r="L294" s="9">
        <v>11.99</v>
      </c>
      <c r="M294" s="4" t="s">
        <v>2631</v>
      </c>
      <c r="N294" s="4" t="s">
        <v>2632</v>
      </c>
      <c r="O294" s="4" t="s">
        <v>2628</v>
      </c>
      <c r="P294" s="4" t="s">
        <v>2602</v>
      </c>
      <c r="Q294" s="4" t="s">
        <v>2528</v>
      </c>
      <c r="R294" s="4"/>
      <c r="S294" s="4"/>
      <c r="T294" s="4" t="str">
        <f>HYPERLINK("http://slimages.macys.com/is/image/MCY/20819683 ")</f>
        <v xml:space="preserve">http://slimages.macys.com/is/image/MCY/20819683 </v>
      </c>
    </row>
    <row r="295" spans="1:20" ht="15" customHeight="1" x14ac:dyDescent="0.25">
      <c r="A295" s="4" t="s">
        <v>2489</v>
      </c>
      <c r="B295" s="2" t="s">
        <v>2487</v>
      </c>
      <c r="C295" s="2" t="s">
        <v>2488</v>
      </c>
      <c r="D295" s="5" t="s">
        <v>2490</v>
      </c>
      <c r="E295" s="4" t="s">
        <v>2491</v>
      </c>
      <c r="F295" s="6">
        <v>14278836</v>
      </c>
      <c r="G295" s="3">
        <v>14278836</v>
      </c>
      <c r="H295" s="7">
        <v>733002930418</v>
      </c>
      <c r="I295" s="8" t="s">
        <v>1121</v>
      </c>
      <c r="J295" s="4">
        <v>1</v>
      </c>
      <c r="K295" s="9">
        <v>6.99</v>
      </c>
      <c r="L295" s="9">
        <v>6.99</v>
      </c>
      <c r="M295" s="4" t="s">
        <v>1122</v>
      </c>
      <c r="N295" s="4" t="s">
        <v>2567</v>
      </c>
      <c r="O295" s="4" t="s">
        <v>2519</v>
      </c>
      <c r="P295" s="4" t="s">
        <v>2543</v>
      </c>
      <c r="Q295" s="4" t="s">
        <v>2528</v>
      </c>
      <c r="R295" s="4"/>
      <c r="S295" s="4"/>
      <c r="T295" s="4" t="str">
        <f>HYPERLINK("http://slimages.macys.com/is/image/MCY/19252881 ")</f>
        <v xml:space="preserve">http://slimages.macys.com/is/image/MCY/19252881 </v>
      </c>
    </row>
    <row r="296" spans="1:20" ht="15" customHeight="1" x14ac:dyDescent="0.25">
      <c r="A296" s="4" t="s">
        <v>2489</v>
      </c>
      <c r="B296" s="2" t="s">
        <v>2487</v>
      </c>
      <c r="C296" s="2" t="s">
        <v>2488</v>
      </c>
      <c r="D296" s="5" t="s">
        <v>2490</v>
      </c>
      <c r="E296" s="4" t="s">
        <v>2491</v>
      </c>
      <c r="F296" s="6">
        <v>14278836</v>
      </c>
      <c r="G296" s="3">
        <v>14278836</v>
      </c>
      <c r="H296" s="7">
        <v>80538128223</v>
      </c>
      <c r="I296" s="8" t="s">
        <v>1123</v>
      </c>
      <c r="J296" s="4">
        <v>1</v>
      </c>
      <c r="K296" s="9">
        <v>7.99</v>
      </c>
      <c r="L296" s="9">
        <v>7.99</v>
      </c>
      <c r="M296" s="4">
        <v>64833</v>
      </c>
      <c r="N296" s="4" t="s">
        <v>2535</v>
      </c>
      <c r="O296" s="4"/>
      <c r="P296" s="4" t="s">
        <v>2666</v>
      </c>
      <c r="Q296" s="4" t="s">
        <v>2778</v>
      </c>
      <c r="R296" s="4"/>
      <c r="S296" s="4"/>
      <c r="T296" s="4" t="str">
        <f>HYPERLINK("http://slimages.macys.com/is/image/MCY/19598346 ")</f>
        <v xml:space="preserve">http://slimages.macys.com/is/image/MCY/19598346 </v>
      </c>
    </row>
    <row r="297" spans="1:20" ht="15" customHeight="1" x14ac:dyDescent="0.25">
      <c r="A297" s="4" t="s">
        <v>2489</v>
      </c>
      <c r="B297" s="2" t="s">
        <v>2487</v>
      </c>
      <c r="C297" s="2" t="s">
        <v>2488</v>
      </c>
      <c r="D297" s="5" t="s">
        <v>2490</v>
      </c>
      <c r="E297" s="4" t="s">
        <v>2491</v>
      </c>
      <c r="F297" s="6">
        <v>14278836</v>
      </c>
      <c r="G297" s="3">
        <v>14278836</v>
      </c>
      <c r="H297" s="7">
        <v>80538128247</v>
      </c>
      <c r="I297" s="8" t="s">
        <v>1124</v>
      </c>
      <c r="J297" s="4">
        <v>1</v>
      </c>
      <c r="K297" s="9">
        <v>7.99</v>
      </c>
      <c r="L297" s="9">
        <v>7.99</v>
      </c>
      <c r="M297" s="4">
        <v>64834</v>
      </c>
      <c r="N297" s="4" t="s">
        <v>2731</v>
      </c>
      <c r="O297" s="4"/>
      <c r="P297" s="4" t="s">
        <v>2666</v>
      </c>
      <c r="Q297" s="4" t="s">
        <v>2778</v>
      </c>
      <c r="R297" s="4"/>
      <c r="S297" s="4"/>
      <c r="T297" s="4" t="str">
        <f>HYPERLINK("http://slimages.macys.com/is/image/MCY/20052300 ")</f>
        <v xml:space="preserve">http://slimages.macys.com/is/image/MCY/20052300 </v>
      </c>
    </row>
    <row r="298" spans="1:20" ht="15" customHeight="1" x14ac:dyDescent="0.25">
      <c r="A298" s="4" t="s">
        <v>2489</v>
      </c>
      <c r="B298" s="2" t="s">
        <v>2487</v>
      </c>
      <c r="C298" s="2" t="s">
        <v>2488</v>
      </c>
      <c r="D298" s="5" t="s">
        <v>2490</v>
      </c>
      <c r="E298" s="4" t="s">
        <v>2491</v>
      </c>
      <c r="F298" s="6">
        <v>14278836</v>
      </c>
      <c r="G298" s="3">
        <v>14278836</v>
      </c>
      <c r="H298" s="7">
        <v>193579935948</v>
      </c>
      <c r="I298" s="8" t="s">
        <v>1125</v>
      </c>
      <c r="J298" s="4">
        <v>1</v>
      </c>
      <c r="K298" s="9">
        <v>22.99</v>
      </c>
      <c r="L298" s="9">
        <v>22.99</v>
      </c>
      <c r="M298" s="4" t="s">
        <v>1126</v>
      </c>
      <c r="N298" s="4" t="s">
        <v>2497</v>
      </c>
      <c r="O298" s="4" t="s">
        <v>2861</v>
      </c>
      <c r="P298" s="4" t="s">
        <v>2619</v>
      </c>
      <c r="Q298" s="4" t="s">
        <v>3181</v>
      </c>
      <c r="R298" s="4"/>
      <c r="S298" s="4"/>
      <c r="T298" s="4" t="str">
        <f>HYPERLINK("http://slimages.macys.com/is/image/MCY/16694912 ")</f>
        <v xml:space="preserve">http://slimages.macys.com/is/image/MCY/16694912 </v>
      </c>
    </row>
    <row r="299" spans="1:20" ht="15" customHeight="1" x14ac:dyDescent="0.25">
      <c r="A299" s="4" t="s">
        <v>2489</v>
      </c>
      <c r="B299" s="2" t="s">
        <v>2487</v>
      </c>
      <c r="C299" s="2" t="s">
        <v>2488</v>
      </c>
      <c r="D299" s="5" t="s">
        <v>2490</v>
      </c>
      <c r="E299" s="4" t="s">
        <v>2491</v>
      </c>
      <c r="F299" s="6">
        <v>14278836</v>
      </c>
      <c r="G299" s="3">
        <v>14278836</v>
      </c>
      <c r="H299" s="7">
        <v>762120126526</v>
      </c>
      <c r="I299" s="8" t="s">
        <v>1127</v>
      </c>
      <c r="J299" s="4">
        <v>1</v>
      </c>
      <c r="K299" s="9">
        <v>6.99</v>
      </c>
      <c r="L299" s="9">
        <v>6.99</v>
      </c>
      <c r="M299" s="4" t="s">
        <v>2271</v>
      </c>
      <c r="N299" s="4" t="s">
        <v>2600</v>
      </c>
      <c r="O299" s="4" t="s">
        <v>2493</v>
      </c>
      <c r="P299" s="4" t="s">
        <v>2503</v>
      </c>
      <c r="Q299" s="4" t="s">
        <v>2504</v>
      </c>
      <c r="R299" s="4"/>
      <c r="S299" s="4"/>
      <c r="T299" s="4" t="str">
        <f>HYPERLINK("http://slimages.macys.com/is/image/MCY/20385690 ")</f>
        <v xml:space="preserve">http://slimages.macys.com/is/image/MCY/20385690 </v>
      </c>
    </row>
    <row r="300" spans="1:20" ht="15" customHeight="1" x14ac:dyDescent="0.25">
      <c r="A300" s="4" t="s">
        <v>2489</v>
      </c>
      <c r="B300" s="2" t="s">
        <v>2487</v>
      </c>
      <c r="C300" s="2" t="s">
        <v>2488</v>
      </c>
      <c r="D300" s="5" t="s">
        <v>2490</v>
      </c>
      <c r="E300" s="4" t="s">
        <v>2491</v>
      </c>
      <c r="F300" s="6">
        <v>14278836</v>
      </c>
      <c r="G300" s="3">
        <v>14278836</v>
      </c>
      <c r="H300" s="7">
        <v>733004086656</v>
      </c>
      <c r="I300" s="8" t="s">
        <v>1128</v>
      </c>
      <c r="J300" s="4">
        <v>1</v>
      </c>
      <c r="K300" s="9">
        <v>10.99</v>
      </c>
      <c r="L300" s="9">
        <v>10.99</v>
      </c>
      <c r="M300" s="4" t="s">
        <v>1129</v>
      </c>
      <c r="N300" s="4" t="s">
        <v>2497</v>
      </c>
      <c r="O300" s="4" t="s">
        <v>2671</v>
      </c>
      <c r="P300" s="4" t="s">
        <v>2543</v>
      </c>
      <c r="Q300" s="4" t="s">
        <v>2528</v>
      </c>
      <c r="R300" s="4"/>
      <c r="S300" s="4"/>
      <c r="T300" s="4" t="str">
        <f>HYPERLINK("http://slimages.macys.com/is/image/MCY/19988454 ")</f>
        <v xml:space="preserve">http://slimages.macys.com/is/image/MCY/19988454 </v>
      </c>
    </row>
    <row r="301" spans="1:20" ht="15" customHeight="1" x14ac:dyDescent="0.25">
      <c r="A301" s="4" t="s">
        <v>2489</v>
      </c>
      <c r="B301" s="2" t="s">
        <v>2487</v>
      </c>
      <c r="C301" s="2" t="s">
        <v>2488</v>
      </c>
      <c r="D301" s="5" t="s">
        <v>2490</v>
      </c>
      <c r="E301" s="4" t="s">
        <v>2491</v>
      </c>
      <c r="F301" s="6">
        <v>14278836</v>
      </c>
      <c r="G301" s="3">
        <v>14278836</v>
      </c>
      <c r="H301" s="7">
        <v>194135491328</v>
      </c>
      <c r="I301" s="8" t="s">
        <v>1130</v>
      </c>
      <c r="J301" s="4">
        <v>1</v>
      </c>
      <c r="K301" s="9">
        <v>11.1</v>
      </c>
      <c r="L301" s="9">
        <v>11.1</v>
      </c>
      <c r="M301" s="4" t="s">
        <v>2154</v>
      </c>
      <c r="N301" s="4"/>
      <c r="O301" s="4" t="s">
        <v>2524</v>
      </c>
      <c r="P301" s="4" t="s">
        <v>2657</v>
      </c>
      <c r="Q301" s="4" t="s">
        <v>2716</v>
      </c>
      <c r="R301" s="4"/>
      <c r="S301" s="4"/>
      <c r="T301" s="4" t="str">
        <f>HYPERLINK("http://slimages.macys.com/is/image/MCY/19917199 ")</f>
        <v xml:space="preserve">http://slimages.macys.com/is/image/MCY/19917199 </v>
      </c>
    </row>
    <row r="302" spans="1:20" ht="15" customHeight="1" x14ac:dyDescent="0.25">
      <c r="A302" s="4" t="s">
        <v>2489</v>
      </c>
      <c r="B302" s="2" t="s">
        <v>2487</v>
      </c>
      <c r="C302" s="2" t="s">
        <v>2488</v>
      </c>
      <c r="D302" s="5" t="s">
        <v>2490</v>
      </c>
      <c r="E302" s="4" t="s">
        <v>2491</v>
      </c>
      <c r="F302" s="6">
        <v>14278836</v>
      </c>
      <c r="G302" s="3">
        <v>14278836</v>
      </c>
      <c r="H302" s="7">
        <v>194135476547</v>
      </c>
      <c r="I302" s="8" t="s">
        <v>1131</v>
      </c>
      <c r="J302" s="4">
        <v>3</v>
      </c>
      <c r="K302" s="9">
        <v>17.309999999999999</v>
      </c>
      <c r="L302" s="9">
        <v>51.93</v>
      </c>
      <c r="M302" s="4" t="s">
        <v>2216</v>
      </c>
      <c r="N302" s="4"/>
      <c r="O302" s="4" t="s">
        <v>2524</v>
      </c>
      <c r="P302" s="4" t="s">
        <v>2657</v>
      </c>
      <c r="Q302" s="4" t="s">
        <v>2658</v>
      </c>
      <c r="R302" s="4"/>
      <c r="S302" s="4"/>
      <c r="T302" s="4" t="str">
        <f>HYPERLINK("http://slimages.macys.com/is/image/MCY/19910888 ")</f>
        <v xml:space="preserve">http://slimages.macys.com/is/image/MCY/19910888 </v>
      </c>
    </row>
    <row r="303" spans="1:20" ht="15" customHeight="1" x14ac:dyDescent="0.25">
      <c r="A303" s="4" t="s">
        <v>2489</v>
      </c>
      <c r="B303" s="2" t="s">
        <v>2487</v>
      </c>
      <c r="C303" s="2" t="s">
        <v>2488</v>
      </c>
      <c r="D303" s="5" t="s">
        <v>2490</v>
      </c>
      <c r="E303" s="4" t="s">
        <v>2491</v>
      </c>
      <c r="F303" s="6">
        <v>14278836</v>
      </c>
      <c r="G303" s="3">
        <v>14278836</v>
      </c>
      <c r="H303" s="7">
        <v>193666882834</v>
      </c>
      <c r="I303" s="8" t="s">
        <v>1132</v>
      </c>
      <c r="J303" s="4">
        <v>1</v>
      </c>
      <c r="K303" s="9">
        <v>30.99</v>
      </c>
      <c r="L303" s="9">
        <v>30.99</v>
      </c>
      <c r="M303" s="4">
        <v>2124</v>
      </c>
      <c r="N303" s="4" t="s">
        <v>3457</v>
      </c>
      <c r="O303" s="4" t="s">
        <v>2519</v>
      </c>
      <c r="P303" s="4" t="s">
        <v>2569</v>
      </c>
      <c r="Q303" s="4" t="s">
        <v>3173</v>
      </c>
      <c r="R303" s="4"/>
      <c r="S303" s="4"/>
      <c r="T303" s="4" t="str">
        <f>HYPERLINK("http://slimages.macys.com/is/image/MCY/20586531 ")</f>
        <v xml:space="preserve">http://slimages.macys.com/is/image/MCY/20586531 </v>
      </c>
    </row>
    <row r="304" spans="1:20" ht="15" customHeight="1" x14ac:dyDescent="0.25">
      <c r="A304" s="4" t="s">
        <v>2489</v>
      </c>
      <c r="B304" s="2" t="s">
        <v>2487</v>
      </c>
      <c r="C304" s="2" t="s">
        <v>2488</v>
      </c>
      <c r="D304" s="5" t="s">
        <v>2490</v>
      </c>
      <c r="E304" s="4" t="s">
        <v>2491</v>
      </c>
      <c r="F304" s="6">
        <v>14278836</v>
      </c>
      <c r="G304" s="3">
        <v>14278836</v>
      </c>
      <c r="H304" s="7">
        <v>191539853066</v>
      </c>
      <c r="I304" s="8" t="s">
        <v>1133</v>
      </c>
      <c r="J304" s="4">
        <v>1</v>
      </c>
      <c r="K304" s="9">
        <v>29.99</v>
      </c>
      <c r="L304" s="9">
        <v>29.99</v>
      </c>
      <c r="M304" s="4" t="s">
        <v>1986</v>
      </c>
      <c r="N304" s="4" t="s">
        <v>2497</v>
      </c>
      <c r="O304" s="4" t="s">
        <v>2653</v>
      </c>
      <c r="P304" s="4" t="s">
        <v>2956</v>
      </c>
      <c r="Q304" s="4" t="s">
        <v>2818</v>
      </c>
      <c r="R304" s="4"/>
      <c r="S304" s="4"/>
      <c r="T304" s="4" t="str">
        <f>HYPERLINK("http://slimages.macys.com/is/image/MCY/20328866 ")</f>
        <v xml:space="preserve">http://slimages.macys.com/is/image/MCY/20328866 </v>
      </c>
    </row>
    <row r="305" spans="1:20" ht="15" customHeight="1" x14ac:dyDescent="0.25">
      <c r="A305" s="4" t="s">
        <v>2489</v>
      </c>
      <c r="B305" s="2" t="s">
        <v>2487</v>
      </c>
      <c r="C305" s="2" t="s">
        <v>2488</v>
      </c>
      <c r="D305" s="5" t="s">
        <v>2490</v>
      </c>
      <c r="E305" s="4" t="s">
        <v>2491</v>
      </c>
      <c r="F305" s="6">
        <v>14278836</v>
      </c>
      <c r="G305" s="3">
        <v>14278836</v>
      </c>
      <c r="H305" s="7">
        <v>194135476554</v>
      </c>
      <c r="I305" s="8" t="s">
        <v>1134</v>
      </c>
      <c r="J305" s="4">
        <v>1</v>
      </c>
      <c r="K305" s="9">
        <v>17.309999999999999</v>
      </c>
      <c r="L305" s="9">
        <v>17.309999999999999</v>
      </c>
      <c r="M305" s="4" t="s">
        <v>2216</v>
      </c>
      <c r="N305" s="4"/>
      <c r="O305" s="4" t="s">
        <v>2587</v>
      </c>
      <c r="P305" s="4" t="s">
        <v>2657</v>
      </c>
      <c r="Q305" s="4" t="s">
        <v>2658</v>
      </c>
      <c r="R305" s="4"/>
      <c r="S305" s="4"/>
      <c r="T305" s="4" t="str">
        <f>HYPERLINK("http://slimages.macys.com/is/image/MCY/19910888 ")</f>
        <v xml:space="preserve">http://slimages.macys.com/is/image/MCY/19910888 </v>
      </c>
    </row>
    <row r="306" spans="1:20" ht="15" customHeight="1" x14ac:dyDescent="0.25">
      <c r="A306" s="4" t="s">
        <v>2489</v>
      </c>
      <c r="B306" s="2" t="s">
        <v>2487</v>
      </c>
      <c r="C306" s="2" t="s">
        <v>2488</v>
      </c>
      <c r="D306" s="5" t="s">
        <v>2490</v>
      </c>
      <c r="E306" s="4" t="s">
        <v>2491</v>
      </c>
      <c r="F306" s="6">
        <v>14278836</v>
      </c>
      <c r="G306" s="3">
        <v>14278836</v>
      </c>
      <c r="H306" s="7">
        <v>194133458309</v>
      </c>
      <c r="I306" s="8" t="s">
        <v>1135</v>
      </c>
      <c r="J306" s="4">
        <v>1</v>
      </c>
      <c r="K306" s="9">
        <v>15.56</v>
      </c>
      <c r="L306" s="9">
        <v>15.56</v>
      </c>
      <c r="M306" s="4" t="s">
        <v>1136</v>
      </c>
      <c r="N306" s="4"/>
      <c r="O306" s="4"/>
      <c r="P306" s="4" t="s">
        <v>2657</v>
      </c>
      <c r="Q306" s="4" t="s">
        <v>2658</v>
      </c>
      <c r="R306" s="4"/>
      <c r="S306" s="4"/>
      <c r="T306" s="4" t="str">
        <f>HYPERLINK("http://slimages.macys.com/is/image/MCY/19934677 ")</f>
        <v xml:space="preserve">http://slimages.macys.com/is/image/MCY/19934677 </v>
      </c>
    </row>
    <row r="307" spans="1:20" ht="15" customHeight="1" x14ac:dyDescent="0.25">
      <c r="A307" s="4" t="s">
        <v>2489</v>
      </c>
      <c r="B307" s="2" t="s">
        <v>2487</v>
      </c>
      <c r="C307" s="2" t="s">
        <v>2488</v>
      </c>
      <c r="D307" s="5" t="s">
        <v>2490</v>
      </c>
      <c r="E307" s="4" t="s">
        <v>2491</v>
      </c>
      <c r="F307" s="6">
        <v>14278836</v>
      </c>
      <c r="G307" s="3">
        <v>14278836</v>
      </c>
      <c r="H307" s="7">
        <v>733003130756</v>
      </c>
      <c r="I307" s="8" t="s">
        <v>1137</v>
      </c>
      <c r="J307" s="4">
        <v>1</v>
      </c>
      <c r="K307" s="9">
        <v>6.99</v>
      </c>
      <c r="L307" s="9">
        <v>6.99</v>
      </c>
      <c r="M307" s="4" t="s">
        <v>1138</v>
      </c>
      <c r="N307" s="4" t="s">
        <v>2531</v>
      </c>
      <c r="O307" s="4" t="s">
        <v>2601</v>
      </c>
      <c r="P307" s="4" t="s">
        <v>2503</v>
      </c>
      <c r="Q307" s="4" t="s">
        <v>2504</v>
      </c>
      <c r="R307" s="4"/>
      <c r="S307" s="4"/>
      <c r="T307" s="4" t="str">
        <f>HYPERLINK("http://slimages.macys.com/is/image/MCY/19217611 ")</f>
        <v xml:space="preserve">http://slimages.macys.com/is/image/MCY/19217611 </v>
      </c>
    </row>
    <row r="308" spans="1:20" ht="15" customHeight="1" x14ac:dyDescent="0.25">
      <c r="A308" s="4" t="s">
        <v>2489</v>
      </c>
      <c r="B308" s="2" t="s">
        <v>2487</v>
      </c>
      <c r="C308" s="2" t="s">
        <v>2488</v>
      </c>
      <c r="D308" s="5" t="s">
        <v>2490</v>
      </c>
      <c r="E308" s="4" t="s">
        <v>2491</v>
      </c>
      <c r="F308" s="6">
        <v>14278836</v>
      </c>
      <c r="G308" s="3">
        <v>14278836</v>
      </c>
      <c r="H308" s="7">
        <v>195958071339</v>
      </c>
      <c r="I308" s="8" t="s">
        <v>1139</v>
      </c>
      <c r="J308" s="4">
        <v>1</v>
      </c>
      <c r="K308" s="9">
        <v>24.99</v>
      </c>
      <c r="L308" s="9">
        <v>24.99</v>
      </c>
      <c r="M308" s="4" t="s">
        <v>1140</v>
      </c>
      <c r="N308" s="4" t="s">
        <v>2544</v>
      </c>
      <c r="O308" s="4" t="s">
        <v>2566</v>
      </c>
      <c r="P308" s="4" t="s">
        <v>2562</v>
      </c>
      <c r="Q308" s="4" t="s">
        <v>2603</v>
      </c>
      <c r="R308" s="4"/>
      <c r="S308" s="4"/>
      <c r="T308" s="4" t="str">
        <f>HYPERLINK("http://slimages.macys.com/is/image/MCY/19969635 ")</f>
        <v xml:space="preserve">http://slimages.macys.com/is/image/MCY/19969635 </v>
      </c>
    </row>
    <row r="309" spans="1:20" ht="15" customHeight="1" x14ac:dyDescent="0.25">
      <c r="A309" s="4" t="s">
        <v>2489</v>
      </c>
      <c r="B309" s="2" t="s">
        <v>2487</v>
      </c>
      <c r="C309" s="2" t="s">
        <v>2488</v>
      </c>
      <c r="D309" s="5" t="s">
        <v>2490</v>
      </c>
      <c r="E309" s="4" t="s">
        <v>2491</v>
      </c>
      <c r="F309" s="6">
        <v>14278836</v>
      </c>
      <c r="G309" s="3">
        <v>14278836</v>
      </c>
      <c r="H309" s="7">
        <v>733004553226</v>
      </c>
      <c r="I309" s="8" t="s">
        <v>1141</v>
      </c>
      <c r="J309" s="4">
        <v>2</v>
      </c>
      <c r="K309" s="9">
        <v>21.99</v>
      </c>
      <c r="L309" s="9">
        <v>43.98</v>
      </c>
      <c r="M309" s="4" t="s">
        <v>2228</v>
      </c>
      <c r="N309" s="4" t="s">
        <v>2497</v>
      </c>
      <c r="O309" s="4" t="s">
        <v>2555</v>
      </c>
      <c r="P309" s="4" t="s">
        <v>2515</v>
      </c>
      <c r="Q309" s="4" t="s">
        <v>2672</v>
      </c>
      <c r="R309" s="4"/>
      <c r="S309" s="4"/>
      <c r="T309" s="4" t="str">
        <f>HYPERLINK("http://slimages.macys.com/is/image/MCY/20531655 ")</f>
        <v xml:space="preserve">http://slimages.macys.com/is/image/MCY/20531655 </v>
      </c>
    </row>
    <row r="310" spans="1:20" ht="15" customHeight="1" x14ac:dyDescent="0.25">
      <c r="A310" s="4" t="s">
        <v>2489</v>
      </c>
      <c r="B310" s="2" t="s">
        <v>2487</v>
      </c>
      <c r="C310" s="2" t="s">
        <v>2488</v>
      </c>
      <c r="D310" s="5" t="s">
        <v>2490</v>
      </c>
      <c r="E310" s="4" t="s">
        <v>2491</v>
      </c>
      <c r="F310" s="6">
        <v>14278836</v>
      </c>
      <c r="G310" s="3">
        <v>14278836</v>
      </c>
      <c r="H310" s="7">
        <v>762120023580</v>
      </c>
      <c r="I310" s="8" t="s">
        <v>1142</v>
      </c>
      <c r="J310" s="4">
        <v>1</v>
      </c>
      <c r="K310" s="9">
        <v>7.99</v>
      </c>
      <c r="L310" s="9">
        <v>7.99</v>
      </c>
      <c r="M310" s="4" t="s">
        <v>2070</v>
      </c>
      <c r="N310" s="4" t="s">
        <v>2518</v>
      </c>
      <c r="O310" s="4" t="s">
        <v>2629</v>
      </c>
      <c r="P310" s="4" t="s">
        <v>2503</v>
      </c>
      <c r="Q310" s="4" t="s">
        <v>2504</v>
      </c>
      <c r="R310" s="4"/>
      <c r="S310" s="4"/>
      <c r="T310" s="4" t="str">
        <f>HYPERLINK("http://slimages.macys.com/is/image/MCY/19977832 ")</f>
        <v xml:space="preserve">http://slimages.macys.com/is/image/MCY/19977832 </v>
      </c>
    </row>
    <row r="311" spans="1:20" ht="15" customHeight="1" x14ac:dyDescent="0.25">
      <c r="A311" s="4" t="s">
        <v>2489</v>
      </c>
      <c r="B311" s="2" t="s">
        <v>2487</v>
      </c>
      <c r="C311" s="2" t="s">
        <v>2488</v>
      </c>
      <c r="D311" s="5" t="s">
        <v>2490</v>
      </c>
      <c r="E311" s="4" t="s">
        <v>2491</v>
      </c>
      <c r="F311" s="6">
        <v>14278836</v>
      </c>
      <c r="G311" s="3">
        <v>14278836</v>
      </c>
      <c r="H311" s="7">
        <v>733004883736</v>
      </c>
      <c r="I311" s="8" t="s">
        <v>1816</v>
      </c>
      <c r="J311" s="4">
        <v>2</v>
      </c>
      <c r="K311" s="9">
        <v>6.99</v>
      </c>
      <c r="L311" s="9">
        <v>13.98</v>
      </c>
      <c r="M311" s="4" t="s">
        <v>2826</v>
      </c>
      <c r="N311" s="4" t="s">
        <v>2505</v>
      </c>
      <c r="O311" s="4"/>
      <c r="P311" s="4" t="s">
        <v>2503</v>
      </c>
      <c r="Q311" s="4" t="s">
        <v>2504</v>
      </c>
      <c r="R311" s="4"/>
      <c r="S311" s="4"/>
      <c r="T311" s="4" t="str">
        <f>HYPERLINK("http://slimages.macys.com/is/image/MCY/20142535 ")</f>
        <v xml:space="preserve">http://slimages.macys.com/is/image/MCY/20142535 </v>
      </c>
    </row>
    <row r="312" spans="1:20" ht="15" customHeight="1" x14ac:dyDescent="0.25">
      <c r="A312" s="4" t="s">
        <v>2489</v>
      </c>
      <c r="B312" s="2" t="s">
        <v>2487</v>
      </c>
      <c r="C312" s="2" t="s">
        <v>2488</v>
      </c>
      <c r="D312" s="5" t="s">
        <v>2490</v>
      </c>
      <c r="E312" s="4" t="s">
        <v>2491</v>
      </c>
      <c r="F312" s="6">
        <v>14278836</v>
      </c>
      <c r="G312" s="3">
        <v>14278836</v>
      </c>
      <c r="H312" s="7">
        <v>733004748448</v>
      </c>
      <c r="I312" s="8" t="s">
        <v>1143</v>
      </c>
      <c r="J312" s="4">
        <v>3</v>
      </c>
      <c r="K312" s="9">
        <v>7.99</v>
      </c>
      <c r="L312" s="9">
        <v>23.97</v>
      </c>
      <c r="M312" s="4" t="s">
        <v>2341</v>
      </c>
      <c r="N312" s="4" t="s">
        <v>2565</v>
      </c>
      <c r="O312" s="4" t="s">
        <v>2628</v>
      </c>
      <c r="P312" s="4" t="s">
        <v>2503</v>
      </c>
      <c r="Q312" s="4" t="s">
        <v>2504</v>
      </c>
      <c r="R312" s="4"/>
      <c r="S312" s="4"/>
      <c r="T312" s="4" t="str">
        <f>HYPERLINK("http://slimages.macys.com/is/image/MCY/19977364 ")</f>
        <v xml:space="preserve">http://slimages.macys.com/is/image/MCY/19977364 </v>
      </c>
    </row>
    <row r="313" spans="1:20" ht="15" customHeight="1" x14ac:dyDescent="0.25">
      <c r="A313" s="4" t="s">
        <v>2489</v>
      </c>
      <c r="B313" s="2" t="s">
        <v>2487</v>
      </c>
      <c r="C313" s="2" t="s">
        <v>2488</v>
      </c>
      <c r="D313" s="5" t="s">
        <v>2490</v>
      </c>
      <c r="E313" s="4" t="s">
        <v>2491</v>
      </c>
      <c r="F313" s="6">
        <v>14278836</v>
      </c>
      <c r="G313" s="3">
        <v>14278836</v>
      </c>
      <c r="H313" s="7">
        <v>733003616410</v>
      </c>
      <c r="I313" s="8" t="s">
        <v>1144</v>
      </c>
      <c r="J313" s="4">
        <v>2</v>
      </c>
      <c r="K313" s="9">
        <v>7.99</v>
      </c>
      <c r="L313" s="9">
        <v>15.98</v>
      </c>
      <c r="M313" s="4" t="s">
        <v>2757</v>
      </c>
      <c r="N313" s="4" t="s">
        <v>2561</v>
      </c>
      <c r="O313" s="4" t="s">
        <v>2628</v>
      </c>
      <c r="P313" s="4" t="s">
        <v>2503</v>
      </c>
      <c r="Q313" s="4" t="s">
        <v>2504</v>
      </c>
      <c r="R313" s="4"/>
      <c r="S313" s="4"/>
      <c r="T313" s="4" t="str">
        <f>HYPERLINK("http://slimages.macys.com/is/image/MCY/8695857 ")</f>
        <v xml:space="preserve">http://slimages.macys.com/is/image/MCY/8695857 </v>
      </c>
    </row>
    <row r="314" spans="1:20" ht="15" customHeight="1" x14ac:dyDescent="0.25">
      <c r="A314" s="4" t="s">
        <v>2489</v>
      </c>
      <c r="B314" s="2" t="s">
        <v>2487</v>
      </c>
      <c r="C314" s="2" t="s">
        <v>2488</v>
      </c>
      <c r="D314" s="5" t="s">
        <v>2490</v>
      </c>
      <c r="E314" s="4" t="s">
        <v>2491</v>
      </c>
      <c r="F314" s="6">
        <v>14278836</v>
      </c>
      <c r="G314" s="3">
        <v>14278836</v>
      </c>
      <c r="H314" s="7">
        <v>194257542380</v>
      </c>
      <c r="I314" s="8" t="s">
        <v>1145</v>
      </c>
      <c r="J314" s="4">
        <v>1</v>
      </c>
      <c r="K314" s="9">
        <v>10.99</v>
      </c>
      <c r="L314" s="9">
        <v>10.99</v>
      </c>
      <c r="M314" s="4" t="s">
        <v>3268</v>
      </c>
      <c r="N314" s="4" t="s">
        <v>2514</v>
      </c>
      <c r="O314" s="4" t="s">
        <v>2653</v>
      </c>
      <c r="P314" s="4" t="s">
        <v>2619</v>
      </c>
      <c r="Q314" s="4" t="s">
        <v>2654</v>
      </c>
      <c r="R314" s="4"/>
      <c r="S314" s="4"/>
      <c r="T314" s="4" t="str">
        <f>HYPERLINK("http://slimages.macys.com/is/image/MCY/20136609 ")</f>
        <v xml:space="preserve">http://slimages.macys.com/is/image/MCY/20136609 </v>
      </c>
    </row>
    <row r="315" spans="1:20" ht="15" customHeight="1" x14ac:dyDescent="0.25">
      <c r="A315" s="4" t="s">
        <v>2489</v>
      </c>
      <c r="B315" s="2" t="s">
        <v>2487</v>
      </c>
      <c r="C315" s="2" t="s">
        <v>2488</v>
      </c>
      <c r="D315" s="5" t="s">
        <v>2490</v>
      </c>
      <c r="E315" s="4" t="s">
        <v>2491</v>
      </c>
      <c r="F315" s="6">
        <v>14278836</v>
      </c>
      <c r="G315" s="3">
        <v>14278836</v>
      </c>
      <c r="H315" s="7">
        <v>733004746215</v>
      </c>
      <c r="I315" s="8" t="s">
        <v>3373</v>
      </c>
      <c r="J315" s="4">
        <v>3</v>
      </c>
      <c r="K315" s="9">
        <v>6.99</v>
      </c>
      <c r="L315" s="9">
        <v>20.97</v>
      </c>
      <c r="M315" s="4" t="s">
        <v>2885</v>
      </c>
      <c r="N315" s="4" t="s">
        <v>2505</v>
      </c>
      <c r="O315" s="4" t="s">
        <v>2493</v>
      </c>
      <c r="P315" s="4" t="s">
        <v>2503</v>
      </c>
      <c r="Q315" s="4" t="s">
        <v>2504</v>
      </c>
      <c r="R315" s="4"/>
      <c r="S315" s="4"/>
      <c r="T315" s="4" t="str">
        <f>HYPERLINK("http://slimages.macys.com/is/image/MCY/19977855 ")</f>
        <v xml:space="preserve">http://slimages.macys.com/is/image/MCY/19977855 </v>
      </c>
    </row>
    <row r="316" spans="1:20" ht="15" customHeight="1" x14ac:dyDescent="0.25">
      <c r="A316" s="4" t="s">
        <v>2489</v>
      </c>
      <c r="B316" s="2" t="s">
        <v>2487</v>
      </c>
      <c r="C316" s="2" t="s">
        <v>2488</v>
      </c>
      <c r="D316" s="5" t="s">
        <v>2490</v>
      </c>
      <c r="E316" s="4" t="s">
        <v>2491</v>
      </c>
      <c r="F316" s="6">
        <v>14278836</v>
      </c>
      <c r="G316" s="3">
        <v>14278836</v>
      </c>
      <c r="H316" s="7">
        <v>733004748172</v>
      </c>
      <c r="I316" s="8" t="s">
        <v>1146</v>
      </c>
      <c r="J316" s="4">
        <v>1</v>
      </c>
      <c r="K316" s="9">
        <v>7.99</v>
      </c>
      <c r="L316" s="9">
        <v>7.99</v>
      </c>
      <c r="M316" s="4" t="s">
        <v>2467</v>
      </c>
      <c r="N316" s="4" t="s">
        <v>2518</v>
      </c>
      <c r="O316" s="4" t="s">
        <v>2629</v>
      </c>
      <c r="P316" s="4" t="s">
        <v>2503</v>
      </c>
      <c r="Q316" s="4" t="s">
        <v>2504</v>
      </c>
      <c r="R316" s="4"/>
      <c r="S316" s="4"/>
      <c r="T316" s="4" t="str">
        <f>HYPERLINK("http://slimages.macys.com/is/image/MCY/19977391 ")</f>
        <v xml:space="preserve">http://slimages.macys.com/is/image/MCY/19977391 </v>
      </c>
    </row>
    <row r="317" spans="1:20" ht="15" customHeight="1" x14ac:dyDescent="0.25">
      <c r="A317" s="4" t="s">
        <v>2489</v>
      </c>
      <c r="B317" s="2" t="s">
        <v>2487</v>
      </c>
      <c r="C317" s="2" t="s">
        <v>2488</v>
      </c>
      <c r="D317" s="5" t="s">
        <v>2490</v>
      </c>
      <c r="E317" s="4" t="s">
        <v>2491</v>
      </c>
      <c r="F317" s="6">
        <v>14278836</v>
      </c>
      <c r="G317" s="3">
        <v>14278836</v>
      </c>
      <c r="H317" s="7">
        <v>733004738517</v>
      </c>
      <c r="I317" s="8" t="s">
        <v>1147</v>
      </c>
      <c r="J317" s="4">
        <v>1</v>
      </c>
      <c r="K317" s="9">
        <v>6.99</v>
      </c>
      <c r="L317" s="9">
        <v>6.99</v>
      </c>
      <c r="M317" s="4" t="s">
        <v>2462</v>
      </c>
      <c r="N317" s="4" t="s">
        <v>2501</v>
      </c>
      <c r="O317" s="4" t="s">
        <v>2601</v>
      </c>
      <c r="P317" s="4" t="s">
        <v>2503</v>
      </c>
      <c r="Q317" s="4" t="s">
        <v>2504</v>
      </c>
      <c r="R317" s="4"/>
      <c r="S317" s="4"/>
      <c r="T317" s="4" t="str">
        <f>HYPERLINK("http://slimages.macys.com/is/image/MCY/19978055 ")</f>
        <v xml:space="preserve">http://slimages.macys.com/is/image/MCY/19978055 </v>
      </c>
    </row>
    <row r="318" spans="1:20" ht="15" customHeight="1" x14ac:dyDescent="0.25">
      <c r="A318" s="4" t="s">
        <v>2489</v>
      </c>
      <c r="B318" s="2" t="s">
        <v>2487</v>
      </c>
      <c r="C318" s="2" t="s">
        <v>2488</v>
      </c>
      <c r="D318" s="5" t="s">
        <v>2490</v>
      </c>
      <c r="E318" s="4" t="s">
        <v>2491</v>
      </c>
      <c r="F318" s="6">
        <v>14278836</v>
      </c>
      <c r="G318" s="3">
        <v>14278836</v>
      </c>
      <c r="H318" s="7">
        <v>733004884511</v>
      </c>
      <c r="I318" s="8" t="s">
        <v>1148</v>
      </c>
      <c r="J318" s="4">
        <v>1</v>
      </c>
      <c r="K318" s="9">
        <v>8.99</v>
      </c>
      <c r="L318" s="9">
        <v>8.99</v>
      </c>
      <c r="M318" s="4" t="s">
        <v>2647</v>
      </c>
      <c r="N318" s="4" t="s">
        <v>2501</v>
      </c>
      <c r="O318" s="4" t="s">
        <v>2607</v>
      </c>
      <c r="P318" s="4" t="s">
        <v>2503</v>
      </c>
      <c r="Q318" s="4" t="s">
        <v>2504</v>
      </c>
      <c r="R318" s="4"/>
      <c r="S318" s="4"/>
      <c r="T318" s="4" t="str">
        <f>HYPERLINK("http://slimages.macys.com/is/image/MCY/20142471 ")</f>
        <v xml:space="preserve">http://slimages.macys.com/is/image/MCY/20142471 </v>
      </c>
    </row>
    <row r="319" spans="1:20" ht="15" customHeight="1" x14ac:dyDescent="0.25">
      <c r="A319" s="4" t="s">
        <v>2489</v>
      </c>
      <c r="B319" s="2" t="s">
        <v>2487</v>
      </c>
      <c r="C319" s="2" t="s">
        <v>2488</v>
      </c>
      <c r="D319" s="5" t="s">
        <v>2490</v>
      </c>
      <c r="E319" s="4" t="s">
        <v>2491</v>
      </c>
      <c r="F319" s="6">
        <v>14278836</v>
      </c>
      <c r="G319" s="3">
        <v>14278836</v>
      </c>
      <c r="H319" s="7">
        <v>762120162395</v>
      </c>
      <c r="I319" s="8" t="s">
        <v>1149</v>
      </c>
      <c r="J319" s="4">
        <v>1</v>
      </c>
      <c r="K319" s="9">
        <v>7.99</v>
      </c>
      <c r="L319" s="9">
        <v>7.99</v>
      </c>
      <c r="M319" s="4" t="s">
        <v>2033</v>
      </c>
      <c r="N319" s="4" t="s">
        <v>2632</v>
      </c>
      <c r="O319" s="4">
        <v>5</v>
      </c>
      <c r="P319" s="4" t="s">
        <v>2602</v>
      </c>
      <c r="Q319" s="4" t="s">
        <v>2528</v>
      </c>
      <c r="R319" s="4"/>
      <c r="S319" s="4"/>
      <c r="T319" s="4" t="str">
        <f>HYPERLINK("http://slimages.macys.com/is/image/MCY/20819685 ")</f>
        <v xml:space="preserve">http://slimages.macys.com/is/image/MCY/20819685 </v>
      </c>
    </row>
    <row r="320" spans="1:20" ht="15" customHeight="1" x14ac:dyDescent="0.25">
      <c r="A320" s="4" t="s">
        <v>2489</v>
      </c>
      <c r="B320" s="2" t="s">
        <v>2487</v>
      </c>
      <c r="C320" s="2" t="s">
        <v>2488</v>
      </c>
      <c r="D320" s="5" t="s">
        <v>2490</v>
      </c>
      <c r="E320" s="4" t="s">
        <v>2491</v>
      </c>
      <c r="F320" s="6">
        <v>14278836</v>
      </c>
      <c r="G320" s="3">
        <v>14278836</v>
      </c>
      <c r="H320" s="7">
        <v>733001050667</v>
      </c>
      <c r="I320" s="8" t="s">
        <v>2933</v>
      </c>
      <c r="J320" s="4">
        <v>1</v>
      </c>
      <c r="K320" s="9">
        <v>8.99</v>
      </c>
      <c r="L320" s="9">
        <v>8.99</v>
      </c>
      <c r="M320" s="4" t="s">
        <v>2674</v>
      </c>
      <c r="N320" s="4" t="s">
        <v>2501</v>
      </c>
      <c r="O320" s="4" t="s">
        <v>2601</v>
      </c>
      <c r="P320" s="4" t="s">
        <v>2503</v>
      </c>
      <c r="Q320" s="4" t="s">
        <v>2504</v>
      </c>
      <c r="R320" s="4"/>
      <c r="S320" s="4"/>
      <c r="T320" s="4" t="str">
        <f>HYPERLINK("http://slimages.macys.com/is/image/MCY/17586312 ")</f>
        <v xml:space="preserve">http://slimages.macys.com/is/image/MCY/17586312 </v>
      </c>
    </row>
    <row r="321" spans="1:20" ht="15" customHeight="1" x14ac:dyDescent="0.25">
      <c r="A321" s="4" t="s">
        <v>2489</v>
      </c>
      <c r="B321" s="2" t="s">
        <v>2487</v>
      </c>
      <c r="C321" s="2" t="s">
        <v>2488</v>
      </c>
      <c r="D321" s="5" t="s">
        <v>2490</v>
      </c>
      <c r="E321" s="4" t="s">
        <v>2491</v>
      </c>
      <c r="F321" s="6">
        <v>14278836</v>
      </c>
      <c r="G321" s="3">
        <v>14278836</v>
      </c>
      <c r="H321" s="7">
        <v>196027072295</v>
      </c>
      <c r="I321" s="8" t="s">
        <v>1150</v>
      </c>
      <c r="J321" s="4">
        <v>7</v>
      </c>
      <c r="K321" s="9">
        <v>21.99</v>
      </c>
      <c r="L321" s="9">
        <v>153.93</v>
      </c>
      <c r="M321" s="4" t="s">
        <v>1151</v>
      </c>
      <c r="N321" s="4" t="s">
        <v>2544</v>
      </c>
      <c r="O321" s="4">
        <v>6</v>
      </c>
      <c r="P321" s="4" t="s">
        <v>2569</v>
      </c>
      <c r="Q321" s="4" t="s">
        <v>2570</v>
      </c>
      <c r="R321" s="4"/>
      <c r="S321" s="4"/>
      <c r="T321" s="4" t="str">
        <f>HYPERLINK("http://slimages.macys.com/is/image/MCY/20662568 ")</f>
        <v xml:space="preserve">http://slimages.macys.com/is/image/MCY/20662568 </v>
      </c>
    </row>
    <row r="322" spans="1:20" ht="15" customHeight="1" x14ac:dyDescent="0.25">
      <c r="A322" s="4" t="s">
        <v>2489</v>
      </c>
      <c r="B322" s="2" t="s">
        <v>2487</v>
      </c>
      <c r="C322" s="2" t="s">
        <v>2488</v>
      </c>
      <c r="D322" s="5" t="s">
        <v>2490</v>
      </c>
      <c r="E322" s="4" t="s">
        <v>2491</v>
      </c>
      <c r="F322" s="6">
        <v>14278836</v>
      </c>
      <c r="G322" s="3">
        <v>14278836</v>
      </c>
      <c r="H322" s="7">
        <v>194135536869</v>
      </c>
      <c r="I322" s="8" t="s">
        <v>1152</v>
      </c>
      <c r="J322" s="4">
        <v>4</v>
      </c>
      <c r="K322" s="9">
        <v>25.23</v>
      </c>
      <c r="L322" s="9">
        <v>100.92</v>
      </c>
      <c r="M322" s="4" t="s">
        <v>1153</v>
      </c>
      <c r="N322" s="4"/>
      <c r="O322" s="4">
        <v>6</v>
      </c>
      <c r="P322" s="4" t="s">
        <v>2657</v>
      </c>
      <c r="Q322" s="4" t="s">
        <v>2716</v>
      </c>
      <c r="R322" s="4"/>
      <c r="S322" s="4"/>
      <c r="T322" s="4" t="str">
        <f>HYPERLINK("http://slimages.macys.com/is/image/MCY/19974151 ")</f>
        <v xml:space="preserve">http://slimages.macys.com/is/image/MCY/19974151 </v>
      </c>
    </row>
    <row r="323" spans="1:20" ht="15" customHeight="1" x14ac:dyDescent="0.25">
      <c r="A323" s="4" t="s">
        <v>2489</v>
      </c>
      <c r="B323" s="2" t="s">
        <v>2487</v>
      </c>
      <c r="C323" s="2" t="s">
        <v>2488</v>
      </c>
      <c r="D323" s="5" t="s">
        <v>2490</v>
      </c>
      <c r="E323" s="4" t="s">
        <v>2491</v>
      </c>
      <c r="F323" s="6">
        <v>14278836</v>
      </c>
      <c r="G323" s="3">
        <v>14278836</v>
      </c>
      <c r="H323" s="7">
        <v>194257610553</v>
      </c>
      <c r="I323" s="8" t="s">
        <v>1154</v>
      </c>
      <c r="J323" s="4">
        <v>2</v>
      </c>
      <c r="K323" s="9">
        <v>21.99</v>
      </c>
      <c r="L323" s="9">
        <v>43.98</v>
      </c>
      <c r="M323" s="4" t="s">
        <v>2433</v>
      </c>
      <c r="N323" s="4" t="s">
        <v>2505</v>
      </c>
      <c r="O323" s="4" t="s">
        <v>2498</v>
      </c>
      <c r="P323" s="4" t="s">
        <v>2499</v>
      </c>
      <c r="Q323" s="4" t="s">
        <v>2500</v>
      </c>
      <c r="R323" s="4"/>
      <c r="S323" s="4"/>
      <c r="T323" s="4" t="str">
        <f>HYPERLINK("http://slimages.macys.com/is/image/MCY/20475165 ")</f>
        <v xml:space="preserve">http://slimages.macys.com/is/image/MCY/20475165 </v>
      </c>
    </row>
    <row r="324" spans="1:20" ht="15" customHeight="1" x14ac:dyDescent="0.25">
      <c r="A324" s="4" t="s">
        <v>2489</v>
      </c>
      <c r="B324" s="2" t="s">
        <v>2487</v>
      </c>
      <c r="C324" s="2" t="s">
        <v>2488</v>
      </c>
      <c r="D324" s="5" t="s">
        <v>2490</v>
      </c>
      <c r="E324" s="4" t="s">
        <v>2491</v>
      </c>
      <c r="F324" s="6">
        <v>14278836</v>
      </c>
      <c r="G324" s="3">
        <v>14278836</v>
      </c>
      <c r="H324" s="7">
        <v>195238060299</v>
      </c>
      <c r="I324" s="8" t="s">
        <v>2028</v>
      </c>
      <c r="J324" s="4">
        <v>1</v>
      </c>
      <c r="K324" s="9">
        <v>53.99</v>
      </c>
      <c r="L324" s="9">
        <v>53.99</v>
      </c>
      <c r="M324" s="4" t="s">
        <v>1155</v>
      </c>
      <c r="N324" s="4" t="s">
        <v>2535</v>
      </c>
      <c r="O324" s="4" t="s">
        <v>2498</v>
      </c>
      <c r="P324" s="4" t="s">
        <v>2499</v>
      </c>
      <c r="Q324" s="4" t="s">
        <v>2568</v>
      </c>
      <c r="R324" s="4"/>
      <c r="S324" s="4"/>
      <c r="T324" s="4" t="str">
        <f>HYPERLINK("http://slimages.macys.com/is/image/MCY/21276411 ")</f>
        <v xml:space="preserve">http://slimages.macys.com/is/image/MCY/21276411 </v>
      </c>
    </row>
    <row r="325" spans="1:20" ht="15" customHeight="1" x14ac:dyDescent="0.25">
      <c r="A325" s="4" t="s">
        <v>2489</v>
      </c>
      <c r="B325" s="2" t="s">
        <v>2487</v>
      </c>
      <c r="C325" s="2" t="s">
        <v>2488</v>
      </c>
      <c r="D325" s="5" t="s">
        <v>2490</v>
      </c>
      <c r="E325" s="4" t="s">
        <v>2491</v>
      </c>
      <c r="F325" s="6">
        <v>14278836</v>
      </c>
      <c r="G325" s="3">
        <v>14278836</v>
      </c>
      <c r="H325" s="7">
        <v>733002286034</v>
      </c>
      <c r="I325" s="8" t="s">
        <v>1156</v>
      </c>
      <c r="J325" s="4">
        <v>1</v>
      </c>
      <c r="K325" s="9">
        <v>5.99</v>
      </c>
      <c r="L325" s="9">
        <v>5.99</v>
      </c>
      <c r="M325" s="4" t="s">
        <v>2727</v>
      </c>
      <c r="N325" s="4" t="s">
        <v>2804</v>
      </c>
      <c r="O325" s="4" t="s">
        <v>2587</v>
      </c>
      <c r="P325" s="4" t="s">
        <v>2520</v>
      </c>
      <c r="Q325" s="4" t="s">
        <v>2528</v>
      </c>
      <c r="R325" s="4"/>
      <c r="S325" s="4"/>
      <c r="T325" s="4" t="str">
        <f>HYPERLINK("http://slimages.macys.com/is/image/MCY/21099931 ")</f>
        <v xml:space="preserve">http://slimages.macys.com/is/image/MCY/21099931 </v>
      </c>
    </row>
    <row r="326" spans="1:20" ht="15" customHeight="1" x14ac:dyDescent="0.25">
      <c r="A326" s="4" t="s">
        <v>2489</v>
      </c>
      <c r="B326" s="2" t="s">
        <v>2487</v>
      </c>
      <c r="C326" s="2" t="s">
        <v>2488</v>
      </c>
      <c r="D326" s="5" t="s">
        <v>2490</v>
      </c>
      <c r="E326" s="4" t="s">
        <v>2491</v>
      </c>
      <c r="F326" s="6">
        <v>14278836</v>
      </c>
      <c r="G326" s="3">
        <v>14278836</v>
      </c>
      <c r="H326" s="7">
        <v>733003093952</v>
      </c>
      <c r="I326" s="8" t="s">
        <v>1157</v>
      </c>
      <c r="J326" s="4">
        <v>1</v>
      </c>
      <c r="K326" s="9">
        <v>10.99</v>
      </c>
      <c r="L326" s="9">
        <v>10.99</v>
      </c>
      <c r="M326" s="4" t="s">
        <v>1158</v>
      </c>
      <c r="N326" s="4" t="s">
        <v>2514</v>
      </c>
      <c r="O326" s="4" t="s">
        <v>2555</v>
      </c>
      <c r="P326" s="4" t="s">
        <v>2543</v>
      </c>
      <c r="Q326" s="4" t="s">
        <v>2528</v>
      </c>
      <c r="R326" s="4"/>
      <c r="S326" s="4"/>
      <c r="T326" s="4" t="str">
        <f>HYPERLINK("http://slimages.macys.com/is/image/MCY/19499270 ")</f>
        <v xml:space="preserve">http://slimages.macys.com/is/image/MCY/19499270 </v>
      </c>
    </row>
    <row r="327" spans="1:20" ht="15" customHeight="1" x14ac:dyDescent="0.25">
      <c r="A327" s="4" t="s">
        <v>2489</v>
      </c>
      <c r="B327" s="2" t="s">
        <v>2487</v>
      </c>
      <c r="C327" s="2" t="s">
        <v>2488</v>
      </c>
      <c r="D327" s="5" t="s">
        <v>2490</v>
      </c>
      <c r="E327" s="4" t="s">
        <v>2491</v>
      </c>
      <c r="F327" s="6">
        <v>14278836</v>
      </c>
      <c r="G327" s="3">
        <v>14278836</v>
      </c>
      <c r="H327" s="7">
        <v>696114360231</v>
      </c>
      <c r="I327" s="8" t="s">
        <v>1159</v>
      </c>
      <c r="J327" s="4">
        <v>1</v>
      </c>
      <c r="K327" s="9">
        <v>19.989999999999998</v>
      </c>
      <c r="L327" s="9">
        <v>19.989999999999998</v>
      </c>
      <c r="M327" s="4" t="s">
        <v>2788</v>
      </c>
      <c r="N327" s="4" t="s">
        <v>2530</v>
      </c>
      <c r="O327" s="4"/>
      <c r="P327" s="4" t="s">
        <v>2569</v>
      </c>
      <c r="Q327" s="4" t="s">
        <v>2679</v>
      </c>
      <c r="R327" s="4"/>
      <c r="S327" s="4"/>
      <c r="T327" s="4" t="str">
        <f>HYPERLINK("http://slimages.macys.com/is/image/MCY/19182447 ")</f>
        <v xml:space="preserve">http://slimages.macys.com/is/image/MCY/19182447 </v>
      </c>
    </row>
    <row r="328" spans="1:20" ht="15" customHeight="1" x14ac:dyDescent="0.25">
      <c r="A328" s="4" t="s">
        <v>2489</v>
      </c>
      <c r="B328" s="2" t="s">
        <v>2487</v>
      </c>
      <c r="C328" s="2" t="s">
        <v>2488</v>
      </c>
      <c r="D328" s="5" t="s">
        <v>2490</v>
      </c>
      <c r="E328" s="4" t="s">
        <v>2491</v>
      </c>
      <c r="F328" s="6">
        <v>14278836</v>
      </c>
      <c r="G328" s="3">
        <v>14278836</v>
      </c>
      <c r="H328" s="7">
        <v>733004723148</v>
      </c>
      <c r="I328" s="8" t="s">
        <v>1160</v>
      </c>
      <c r="J328" s="4">
        <v>1</v>
      </c>
      <c r="K328" s="9">
        <v>22.99</v>
      </c>
      <c r="L328" s="9">
        <v>22.99</v>
      </c>
      <c r="M328" s="4" t="s">
        <v>1799</v>
      </c>
      <c r="N328" s="4" t="s">
        <v>2518</v>
      </c>
      <c r="O328" s="4" t="s">
        <v>2601</v>
      </c>
      <c r="P328" s="4" t="s">
        <v>2503</v>
      </c>
      <c r="Q328" s="4" t="s">
        <v>2504</v>
      </c>
      <c r="R328" s="4"/>
      <c r="S328" s="4"/>
      <c r="T328" s="4" t="str">
        <f>HYPERLINK("http://slimages.macys.com/is/image/MCY/1041651 ")</f>
        <v xml:space="preserve">http://slimages.macys.com/is/image/MCY/1041651 </v>
      </c>
    </row>
    <row r="329" spans="1:20" ht="15" customHeight="1" x14ac:dyDescent="0.25">
      <c r="A329" s="4" t="s">
        <v>2489</v>
      </c>
      <c r="B329" s="2" t="s">
        <v>2487</v>
      </c>
      <c r="C329" s="2" t="s">
        <v>2488</v>
      </c>
      <c r="D329" s="5" t="s">
        <v>2490</v>
      </c>
      <c r="E329" s="4" t="s">
        <v>2491</v>
      </c>
      <c r="F329" s="6">
        <v>14278836</v>
      </c>
      <c r="G329" s="3">
        <v>14278836</v>
      </c>
      <c r="H329" s="7">
        <v>762120263290</v>
      </c>
      <c r="I329" s="8" t="s">
        <v>1161</v>
      </c>
      <c r="J329" s="4">
        <v>1</v>
      </c>
      <c r="K329" s="9">
        <v>13.99</v>
      </c>
      <c r="L329" s="9">
        <v>13.99</v>
      </c>
      <c r="M329" s="4" t="s">
        <v>3033</v>
      </c>
      <c r="N329" s="4" t="s">
        <v>2514</v>
      </c>
      <c r="O329" s="4" t="s">
        <v>2498</v>
      </c>
      <c r="P329" s="4" t="s">
        <v>2543</v>
      </c>
      <c r="Q329" s="4" t="s">
        <v>2528</v>
      </c>
      <c r="R329" s="4"/>
      <c r="S329" s="4"/>
      <c r="T329" s="4" t="str">
        <f>HYPERLINK("http://slimages.macys.com/is/image/MCY/20846556 ")</f>
        <v xml:space="preserve">http://slimages.macys.com/is/image/MCY/20846556 </v>
      </c>
    </row>
    <row r="330" spans="1:20" ht="15" customHeight="1" x14ac:dyDescent="0.25">
      <c r="A330" s="4" t="s">
        <v>2489</v>
      </c>
      <c r="B330" s="2" t="s">
        <v>2487</v>
      </c>
      <c r="C330" s="2" t="s">
        <v>2488</v>
      </c>
      <c r="D330" s="5" t="s">
        <v>2490</v>
      </c>
      <c r="E330" s="4" t="s">
        <v>2491</v>
      </c>
      <c r="F330" s="6">
        <v>14278836</v>
      </c>
      <c r="G330" s="3">
        <v>14278836</v>
      </c>
      <c r="H330" s="7">
        <v>762120689335</v>
      </c>
      <c r="I330" s="8" t="s">
        <v>1162</v>
      </c>
      <c r="J330" s="4">
        <v>1</v>
      </c>
      <c r="K330" s="9">
        <v>16.989999999999998</v>
      </c>
      <c r="L330" s="9">
        <v>16.989999999999998</v>
      </c>
      <c r="M330" s="4" t="s">
        <v>3031</v>
      </c>
      <c r="N330" s="4" t="s">
        <v>2518</v>
      </c>
      <c r="O330" s="4" t="s">
        <v>2671</v>
      </c>
      <c r="P330" s="4" t="s">
        <v>2515</v>
      </c>
      <c r="Q330" s="4" t="s">
        <v>2672</v>
      </c>
      <c r="R330" s="4"/>
      <c r="S330" s="4"/>
      <c r="T330" s="4" t="str">
        <f>HYPERLINK("http://slimages.macys.com/is/image/MCY/20549489 ")</f>
        <v xml:space="preserve">http://slimages.macys.com/is/image/MCY/20549489 </v>
      </c>
    </row>
    <row r="331" spans="1:20" ht="15" customHeight="1" x14ac:dyDescent="0.25">
      <c r="A331" s="4" t="s">
        <v>2489</v>
      </c>
      <c r="B331" s="2" t="s">
        <v>2487</v>
      </c>
      <c r="C331" s="2" t="s">
        <v>2488</v>
      </c>
      <c r="D331" s="5" t="s">
        <v>2490</v>
      </c>
      <c r="E331" s="4" t="s">
        <v>2491</v>
      </c>
      <c r="F331" s="6">
        <v>14278836</v>
      </c>
      <c r="G331" s="3">
        <v>14278836</v>
      </c>
      <c r="H331" s="7">
        <v>192401257586</v>
      </c>
      <c r="I331" s="8" t="s">
        <v>2065</v>
      </c>
      <c r="J331" s="4">
        <v>3</v>
      </c>
      <c r="K331" s="9">
        <v>22.99</v>
      </c>
      <c r="L331" s="9">
        <v>68.97</v>
      </c>
      <c r="M331" s="4" t="s">
        <v>3058</v>
      </c>
      <c r="N331" s="4" t="s">
        <v>2676</v>
      </c>
      <c r="O331" s="4" t="s">
        <v>2519</v>
      </c>
      <c r="P331" s="4" t="s">
        <v>2556</v>
      </c>
      <c r="Q331" s="4" t="s">
        <v>2882</v>
      </c>
      <c r="R331" s="4"/>
      <c r="S331" s="4"/>
      <c r="T331" s="4" t="str">
        <f>HYPERLINK("http://slimages.macys.com/is/image/MCY/18144734 ")</f>
        <v xml:space="preserve">http://slimages.macys.com/is/image/MCY/18144734 </v>
      </c>
    </row>
    <row r="332" spans="1:20" ht="15" customHeight="1" x14ac:dyDescent="0.25">
      <c r="A332" s="4" t="s">
        <v>2489</v>
      </c>
      <c r="B332" s="2" t="s">
        <v>2487</v>
      </c>
      <c r="C332" s="2" t="s">
        <v>2488</v>
      </c>
      <c r="D332" s="5" t="s">
        <v>2490</v>
      </c>
      <c r="E332" s="4" t="s">
        <v>2491</v>
      </c>
      <c r="F332" s="6">
        <v>14278836</v>
      </c>
      <c r="G332" s="3">
        <v>14278836</v>
      </c>
      <c r="H332" s="7">
        <v>196027073094</v>
      </c>
      <c r="I332" s="8" t="s">
        <v>1163</v>
      </c>
      <c r="J332" s="4">
        <v>4</v>
      </c>
      <c r="K332" s="9">
        <v>30.99</v>
      </c>
      <c r="L332" s="9">
        <v>123.96</v>
      </c>
      <c r="M332" s="4" t="s">
        <v>1164</v>
      </c>
      <c r="N332" s="4" t="s">
        <v>2544</v>
      </c>
      <c r="O332" s="4">
        <v>6</v>
      </c>
      <c r="P332" s="4" t="s">
        <v>2569</v>
      </c>
      <c r="Q332" s="4" t="s">
        <v>2590</v>
      </c>
      <c r="R332" s="4"/>
      <c r="S332" s="4"/>
      <c r="T332" s="4" t="str">
        <f>HYPERLINK("http://slimages.macys.com/is/image/MCY/20662582 ")</f>
        <v xml:space="preserve">http://slimages.macys.com/is/image/MCY/20662582 </v>
      </c>
    </row>
    <row r="333" spans="1:20" ht="15" customHeight="1" x14ac:dyDescent="0.25">
      <c r="A333" s="4" t="s">
        <v>2489</v>
      </c>
      <c r="B333" s="2" t="s">
        <v>2487</v>
      </c>
      <c r="C333" s="2" t="s">
        <v>2488</v>
      </c>
      <c r="D333" s="5" t="s">
        <v>2490</v>
      </c>
      <c r="E333" s="4" t="s">
        <v>2491</v>
      </c>
      <c r="F333" s="6">
        <v>14278836</v>
      </c>
      <c r="G333" s="3">
        <v>14278836</v>
      </c>
      <c r="H333" s="7">
        <v>196027075807</v>
      </c>
      <c r="I333" s="8" t="s">
        <v>1165</v>
      </c>
      <c r="J333" s="4">
        <v>3</v>
      </c>
      <c r="K333" s="9">
        <v>25.99</v>
      </c>
      <c r="L333" s="9">
        <v>77.97</v>
      </c>
      <c r="M333" s="4" t="s">
        <v>1166</v>
      </c>
      <c r="N333" s="4" t="s">
        <v>2544</v>
      </c>
      <c r="O333" s="4">
        <v>4</v>
      </c>
      <c r="P333" s="4" t="s">
        <v>2569</v>
      </c>
      <c r="Q333" s="4" t="s">
        <v>2570</v>
      </c>
      <c r="R333" s="4"/>
      <c r="S333" s="4"/>
      <c r="T333" s="4" t="str">
        <f>HYPERLINK("http://slimages.macys.com/is/image/MCY/20662606 ")</f>
        <v xml:space="preserve">http://slimages.macys.com/is/image/MCY/20662606 </v>
      </c>
    </row>
    <row r="334" spans="1:20" ht="15" customHeight="1" x14ac:dyDescent="0.25">
      <c r="A334" s="4" t="s">
        <v>2489</v>
      </c>
      <c r="B334" s="2" t="s">
        <v>2487</v>
      </c>
      <c r="C334" s="2" t="s">
        <v>2488</v>
      </c>
      <c r="D334" s="5" t="s">
        <v>2490</v>
      </c>
      <c r="E334" s="4" t="s">
        <v>2491</v>
      </c>
      <c r="F334" s="6">
        <v>14278836</v>
      </c>
      <c r="G334" s="3">
        <v>14278836</v>
      </c>
      <c r="H334" s="7">
        <v>733004041587</v>
      </c>
      <c r="I334" s="8" t="s">
        <v>1167</v>
      </c>
      <c r="J334" s="4">
        <v>1</v>
      </c>
      <c r="K334" s="9">
        <v>7.99</v>
      </c>
      <c r="L334" s="9">
        <v>7.99</v>
      </c>
      <c r="M334" s="4" t="s">
        <v>1168</v>
      </c>
      <c r="N334" s="4" t="s">
        <v>2565</v>
      </c>
      <c r="O334" s="4" t="s">
        <v>2629</v>
      </c>
      <c r="P334" s="4" t="s">
        <v>2520</v>
      </c>
      <c r="Q334" s="4" t="s">
        <v>2528</v>
      </c>
      <c r="R334" s="4"/>
      <c r="S334" s="4"/>
      <c r="T334" s="4" t="str">
        <f>HYPERLINK("http://slimages.macys.com/is/image/MCY/19844193 ")</f>
        <v xml:space="preserve">http://slimages.macys.com/is/image/MCY/19844193 </v>
      </c>
    </row>
    <row r="335" spans="1:20" ht="15" customHeight="1" x14ac:dyDescent="0.25">
      <c r="A335" s="4" t="s">
        <v>2489</v>
      </c>
      <c r="B335" s="2" t="s">
        <v>2487</v>
      </c>
      <c r="C335" s="2" t="s">
        <v>2488</v>
      </c>
      <c r="D335" s="5" t="s">
        <v>2490</v>
      </c>
      <c r="E335" s="4" t="s">
        <v>2491</v>
      </c>
      <c r="F335" s="6">
        <v>14278836</v>
      </c>
      <c r="G335" s="3">
        <v>14278836</v>
      </c>
      <c r="H335" s="7">
        <v>38257549041</v>
      </c>
      <c r="I335" s="8" t="s">
        <v>1169</v>
      </c>
      <c r="J335" s="4">
        <v>1</v>
      </c>
      <c r="K335" s="9">
        <v>12.99</v>
      </c>
      <c r="L335" s="9">
        <v>12.99</v>
      </c>
      <c r="M335" s="4" t="s">
        <v>2264</v>
      </c>
      <c r="N335" s="4" t="s">
        <v>2501</v>
      </c>
      <c r="O335" s="4"/>
      <c r="P335" s="4" t="s">
        <v>2666</v>
      </c>
      <c r="Q335" s="4" t="s">
        <v>2266</v>
      </c>
      <c r="R335" s="4" t="s">
        <v>2552</v>
      </c>
      <c r="S335" s="4" t="s">
        <v>2267</v>
      </c>
      <c r="T335" s="4" t="str">
        <f>HYPERLINK("http://slimages.macys.com/is/image/MCY/2216731 ")</f>
        <v xml:space="preserve">http://slimages.macys.com/is/image/MCY/2216731 </v>
      </c>
    </row>
    <row r="336" spans="1:20" ht="15" customHeight="1" x14ac:dyDescent="0.25">
      <c r="A336" s="4" t="s">
        <v>2489</v>
      </c>
      <c r="B336" s="2" t="s">
        <v>2487</v>
      </c>
      <c r="C336" s="2" t="s">
        <v>2488</v>
      </c>
      <c r="D336" s="5" t="s">
        <v>2490</v>
      </c>
      <c r="E336" s="4" t="s">
        <v>2491</v>
      </c>
      <c r="F336" s="6">
        <v>14278836</v>
      </c>
      <c r="G336" s="3">
        <v>14278836</v>
      </c>
      <c r="H336" s="7">
        <v>733004745645</v>
      </c>
      <c r="I336" s="8" t="s">
        <v>1781</v>
      </c>
      <c r="J336" s="4">
        <v>2</v>
      </c>
      <c r="K336" s="9">
        <v>6.99</v>
      </c>
      <c r="L336" s="9">
        <v>13.98</v>
      </c>
      <c r="M336" s="4" t="s">
        <v>2824</v>
      </c>
      <c r="N336" s="4" t="s">
        <v>2531</v>
      </c>
      <c r="O336" s="4" t="s">
        <v>2566</v>
      </c>
      <c r="P336" s="4" t="s">
        <v>2503</v>
      </c>
      <c r="Q336" s="4" t="s">
        <v>2504</v>
      </c>
      <c r="R336" s="4"/>
      <c r="S336" s="4"/>
      <c r="T336" s="4" t="str">
        <f>HYPERLINK("http://slimages.macys.com/is/image/MCY/19977363 ")</f>
        <v xml:space="preserve">http://slimages.macys.com/is/image/MCY/19977363 </v>
      </c>
    </row>
    <row r="337" spans="1:20" ht="15" customHeight="1" x14ac:dyDescent="0.25">
      <c r="A337" s="4" t="s">
        <v>2489</v>
      </c>
      <c r="B337" s="2" t="s">
        <v>2487</v>
      </c>
      <c r="C337" s="2" t="s">
        <v>2488</v>
      </c>
      <c r="D337" s="5" t="s">
        <v>2490</v>
      </c>
      <c r="E337" s="4" t="s">
        <v>2491</v>
      </c>
      <c r="F337" s="6">
        <v>14278836</v>
      </c>
      <c r="G337" s="3">
        <v>14278836</v>
      </c>
      <c r="H337" s="7">
        <v>193666880076</v>
      </c>
      <c r="I337" s="8" t="s">
        <v>3172</v>
      </c>
      <c r="J337" s="4">
        <v>1</v>
      </c>
      <c r="K337" s="9">
        <v>30.99</v>
      </c>
      <c r="L337" s="9">
        <v>30.99</v>
      </c>
      <c r="M337" s="4">
        <v>2153</v>
      </c>
      <c r="N337" s="4" t="s">
        <v>2729</v>
      </c>
      <c r="O337" s="4" t="s">
        <v>2555</v>
      </c>
      <c r="P337" s="4" t="s">
        <v>2569</v>
      </c>
      <c r="Q337" s="4" t="s">
        <v>3173</v>
      </c>
      <c r="R337" s="4"/>
      <c r="S337" s="4"/>
      <c r="T337" s="4" t="str">
        <f>HYPERLINK("http://slimages.macys.com/is/image/MCY/20586519 ")</f>
        <v xml:space="preserve">http://slimages.macys.com/is/image/MCY/20586519 </v>
      </c>
    </row>
    <row r="338" spans="1:20" ht="15" customHeight="1" x14ac:dyDescent="0.25">
      <c r="A338" s="4" t="s">
        <v>2489</v>
      </c>
      <c r="B338" s="2" t="s">
        <v>2487</v>
      </c>
      <c r="C338" s="2" t="s">
        <v>2488</v>
      </c>
      <c r="D338" s="5" t="s">
        <v>2490</v>
      </c>
      <c r="E338" s="4" t="s">
        <v>2491</v>
      </c>
      <c r="F338" s="6">
        <v>14278836</v>
      </c>
      <c r="G338" s="3">
        <v>14278836</v>
      </c>
      <c r="H338" s="7">
        <v>733003070892</v>
      </c>
      <c r="I338" s="8" t="s">
        <v>1170</v>
      </c>
      <c r="J338" s="4">
        <v>1</v>
      </c>
      <c r="K338" s="9">
        <v>7.99</v>
      </c>
      <c r="L338" s="9">
        <v>7.99</v>
      </c>
      <c r="M338" s="4" t="s">
        <v>1171</v>
      </c>
      <c r="N338" s="4" t="s">
        <v>2514</v>
      </c>
      <c r="O338" s="4" t="s">
        <v>2650</v>
      </c>
      <c r="P338" s="4" t="s">
        <v>2602</v>
      </c>
      <c r="Q338" s="4" t="s">
        <v>2528</v>
      </c>
      <c r="R338" s="4"/>
      <c r="S338" s="4"/>
      <c r="T338" s="4" t="str">
        <f>HYPERLINK("http://slimages.macys.com/is/image/MCY/19479561 ")</f>
        <v xml:space="preserve">http://slimages.macys.com/is/image/MCY/19479561 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2"/>
  <sheetViews>
    <sheetView workbookViewId="0">
      <selection activeCell="F35" sqref="F35"/>
    </sheetView>
  </sheetViews>
  <sheetFormatPr defaultRowHeight="15" x14ac:dyDescent="0.25"/>
  <cols>
    <col min="1" max="1" width="19.85546875" bestFit="1" customWidth="1"/>
    <col min="2" max="2" width="34.42578125" bestFit="1" customWidth="1"/>
    <col min="3" max="3" width="26" bestFit="1" customWidth="1"/>
    <col min="4" max="4" width="8.140625" bestFit="1" customWidth="1"/>
    <col min="5" max="5" width="9.85546875" bestFit="1" customWidth="1"/>
    <col min="6" max="7" width="9" bestFit="1" customWidth="1"/>
    <col min="8" max="8" width="13.140625" bestFit="1" customWidth="1"/>
    <col min="9" max="9" width="67.85546875" bestFit="1" customWidth="1"/>
    <col min="10" max="11" width="8.7109375" bestFit="1" customWidth="1"/>
    <col min="12" max="12" width="14.7109375" bestFit="1" customWidth="1"/>
    <col min="13" max="13" width="21.5703125" bestFit="1" customWidth="1"/>
    <col min="14" max="14" width="13.140625" bestFit="1" customWidth="1"/>
    <col min="15" max="15" width="10.140625" bestFit="1" customWidth="1"/>
    <col min="16" max="16" width="15.7109375" bestFit="1" customWidth="1"/>
    <col min="17" max="17" width="39.7109375" bestFit="1" customWidth="1"/>
    <col min="18" max="18" width="9.85546875" bestFit="1" customWidth="1"/>
    <col min="19" max="19" width="46.7109375" bestFit="1" customWidth="1"/>
    <col min="20" max="20" width="42.85546875" bestFit="1" customWidth="1"/>
  </cols>
  <sheetData>
    <row r="1" spans="1:20" ht="24" x14ac:dyDescent="0.25">
      <c r="A1" s="1" t="s">
        <v>2480</v>
      </c>
      <c r="B1" s="1" t="s">
        <v>2482</v>
      </c>
      <c r="C1" s="1" t="s">
        <v>2483</v>
      </c>
      <c r="D1" s="1" t="s">
        <v>2572</v>
      </c>
      <c r="E1" s="1" t="s">
        <v>2573</v>
      </c>
      <c r="F1" s="1" t="s">
        <v>2481</v>
      </c>
      <c r="G1" s="1" t="s">
        <v>2574</v>
      </c>
      <c r="H1" s="1" t="s">
        <v>2575</v>
      </c>
      <c r="I1" s="1" t="s">
        <v>2576</v>
      </c>
      <c r="J1" s="1" t="s">
        <v>2577</v>
      </c>
      <c r="K1" s="1" t="s">
        <v>2485</v>
      </c>
      <c r="L1" s="1" t="s">
        <v>2578</v>
      </c>
      <c r="M1" s="1" t="s">
        <v>2579</v>
      </c>
      <c r="N1" s="1" t="s">
        <v>2580</v>
      </c>
      <c r="O1" s="1" t="s">
        <v>2581</v>
      </c>
      <c r="P1" s="1" t="s">
        <v>2582</v>
      </c>
      <c r="Q1" s="1" t="s">
        <v>2583</v>
      </c>
      <c r="R1" s="1" t="s">
        <v>2584</v>
      </c>
      <c r="S1" s="1" t="s">
        <v>2585</v>
      </c>
      <c r="T1" s="1" t="s">
        <v>2586</v>
      </c>
    </row>
    <row r="2" spans="1:20" ht="15" customHeight="1" x14ac:dyDescent="0.25">
      <c r="A2" s="4" t="s">
        <v>2489</v>
      </c>
      <c r="B2" s="2" t="s">
        <v>2487</v>
      </c>
      <c r="C2" s="2" t="s">
        <v>2488</v>
      </c>
      <c r="D2" s="5" t="s">
        <v>2490</v>
      </c>
      <c r="E2" s="4" t="s">
        <v>2491</v>
      </c>
      <c r="F2" s="6">
        <v>14277629</v>
      </c>
      <c r="G2" s="3">
        <v>14277629</v>
      </c>
      <c r="H2" s="7">
        <v>194257610560</v>
      </c>
      <c r="I2" s="8" t="s">
        <v>2432</v>
      </c>
      <c r="J2" s="4">
        <v>1</v>
      </c>
      <c r="K2" s="9">
        <v>21.99</v>
      </c>
      <c r="L2" s="9">
        <v>21.99</v>
      </c>
      <c r="M2" s="4" t="s">
        <v>2433</v>
      </c>
      <c r="N2" s="4" t="s">
        <v>2505</v>
      </c>
      <c r="O2" s="4" t="s">
        <v>2532</v>
      </c>
      <c r="P2" s="4" t="s">
        <v>2499</v>
      </c>
      <c r="Q2" s="4" t="s">
        <v>2500</v>
      </c>
      <c r="R2" s="4"/>
      <c r="S2" s="4"/>
      <c r="T2" s="4" t="str">
        <f>HYPERLINK("http://slimages.macys.com/is/image/MCY/20475165 ")</f>
        <v xml:space="preserve">http://slimages.macys.com/is/image/MCY/20475165 </v>
      </c>
    </row>
    <row r="3" spans="1:20" ht="15" customHeight="1" x14ac:dyDescent="0.25">
      <c r="A3" s="4" t="s">
        <v>2489</v>
      </c>
      <c r="B3" s="2" t="s">
        <v>2487</v>
      </c>
      <c r="C3" s="2" t="s">
        <v>2488</v>
      </c>
      <c r="D3" s="5" t="s">
        <v>2490</v>
      </c>
      <c r="E3" s="4" t="s">
        <v>2491</v>
      </c>
      <c r="F3" s="6">
        <v>14277629</v>
      </c>
      <c r="G3" s="3">
        <v>14277629</v>
      </c>
      <c r="H3" s="7">
        <v>194257564917</v>
      </c>
      <c r="I3" s="8" t="s">
        <v>1172</v>
      </c>
      <c r="J3" s="4">
        <v>1</v>
      </c>
      <c r="K3" s="9">
        <v>14.99</v>
      </c>
      <c r="L3" s="9">
        <v>14.99</v>
      </c>
      <c r="M3" s="4" t="s">
        <v>1173</v>
      </c>
      <c r="N3" s="4" t="s">
        <v>2531</v>
      </c>
      <c r="O3" s="4">
        <v>6</v>
      </c>
      <c r="P3" s="4" t="s">
        <v>2619</v>
      </c>
      <c r="Q3" s="4" t="s">
        <v>2654</v>
      </c>
      <c r="R3" s="4"/>
      <c r="S3" s="4"/>
      <c r="T3" s="4" t="str">
        <f>HYPERLINK("http://slimages.macys.com/is/image/MCY/20138557 ")</f>
        <v xml:space="preserve">http://slimages.macys.com/is/image/MCY/20138557 </v>
      </c>
    </row>
    <row r="4" spans="1:20" ht="15" customHeight="1" x14ac:dyDescent="0.25">
      <c r="A4" s="4" t="s">
        <v>2489</v>
      </c>
      <c r="B4" s="2" t="s">
        <v>2487</v>
      </c>
      <c r="C4" s="2" t="s">
        <v>2488</v>
      </c>
      <c r="D4" s="5" t="s">
        <v>2490</v>
      </c>
      <c r="E4" s="4" t="s">
        <v>2491</v>
      </c>
      <c r="F4" s="6">
        <v>14277629</v>
      </c>
      <c r="G4" s="3">
        <v>14277629</v>
      </c>
      <c r="H4" s="7">
        <v>193666722611</v>
      </c>
      <c r="I4" s="8" t="s">
        <v>1174</v>
      </c>
      <c r="J4" s="4">
        <v>2</v>
      </c>
      <c r="K4" s="9">
        <v>14.99</v>
      </c>
      <c r="L4" s="9">
        <v>29.98</v>
      </c>
      <c r="M4" s="4" t="s">
        <v>2996</v>
      </c>
      <c r="N4" s="4" t="s">
        <v>2548</v>
      </c>
      <c r="O4" s="4" t="s">
        <v>2555</v>
      </c>
      <c r="P4" s="4" t="s">
        <v>2666</v>
      </c>
      <c r="Q4" s="4" t="s">
        <v>2775</v>
      </c>
      <c r="R4" s="4"/>
      <c r="S4" s="4"/>
      <c r="T4" s="4" t="str">
        <f>HYPERLINK("http://slimages.macys.com/is/image/MCY/18619089 ")</f>
        <v xml:space="preserve">http://slimages.macys.com/is/image/MCY/18619089 </v>
      </c>
    </row>
    <row r="5" spans="1:20" ht="15" customHeight="1" x14ac:dyDescent="0.25">
      <c r="A5" s="4" t="s">
        <v>2489</v>
      </c>
      <c r="B5" s="2" t="s">
        <v>2487</v>
      </c>
      <c r="C5" s="2" t="s">
        <v>2488</v>
      </c>
      <c r="D5" s="5" t="s">
        <v>2490</v>
      </c>
      <c r="E5" s="4" t="s">
        <v>2491</v>
      </c>
      <c r="F5" s="6">
        <v>14277629</v>
      </c>
      <c r="G5" s="3">
        <v>14277629</v>
      </c>
      <c r="H5" s="7">
        <v>882925649072</v>
      </c>
      <c r="I5" s="8" t="s">
        <v>1175</v>
      </c>
      <c r="J5" s="4">
        <v>1</v>
      </c>
      <c r="K5" s="9">
        <v>45</v>
      </c>
      <c r="L5" s="9">
        <v>45</v>
      </c>
      <c r="M5" s="4">
        <v>310810676002</v>
      </c>
      <c r="N5" s="4" t="s">
        <v>2731</v>
      </c>
      <c r="O5" s="4" t="s">
        <v>2502</v>
      </c>
      <c r="P5" s="4" t="s">
        <v>3032</v>
      </c>
      <c r="Q5" s="4" t="s">
        <v>2616</v>
      </c>
      <c r="R5" s="4"/>
      <c r="S5" s="4"/>
      <c r="T5" s="4" t="str">
        <f>HYPERLINK("http://slimages.macys.com/is/image/MCY/20057970 ")</f>
        <v xml:space="preserve">http://slimages.macys.com/is/image/MCY/20057970 </v>
      </c>
    </row>
    <row r="6" spans="1:20" ht="15" customHeight="1" x14ac:dyDescent="0.25">
      <c r="A6" s="4" t="s">
        <v>2489</v>
      </c>
      <c r="B6" s="2" t="s">
        <v>2487</v>
      </c>
      <c r="C6" s="2" t="s">
        <v>2488</v>
      </c>
      <c r="D6" s="5" t="s">
        <v>2490</v>
      </c>
      <c r="E6" s="4" t="s">
        <v>2491</v>
      </c>
      <c r="F6" s="6">
        <v>14277629</v>
      </c>
      <c r="G6" s="3">
        <v>14277629</v>
      </c>
      <c r="H6" s="7">
        <v>733004523366</v>
      </c>
      <c r="I6" s="8" t="s">
        <v>1176</v>
      </c>
      <c r="J6" s="4">
        <v>1</v>
      </c>
      <c r="K6" s="9">
        <v>7.99</v>
      </c>
      <c r="L6" s="9">
        <v>7.99</v>
      </c>
      <c r="M6" s="4" t="s">
        <v>3053</v>
      </c>
      <c r="N6" s="4" t="s">
        <v>2514</v>
      </c>
      <c r="O6" s="4" t="s">
        <v>2650</v>
      </c>
      <c r="P6" s="4" t="s">
        <v>2602</v>
      </c>
      <c r="Q6" s="4" t="s">
        <v>2528</v>
      </c>
      <c r="R6" s="4"/>
      <c r="S6" s="4"/>
      <c r="T6" s="4" t="str">
        <f>HYPERLINK("http://slimages.macys.com/is/image/MCY/1058730 ")</f>
        <v xml:space="preserve">http://slimages.macys.com/is/image/MCY/1058730 </v>
      </c>
    </row>
    <row r="7" spans="1:20" ht="15" customHeight="1" x14ac:dyDescent="0.25">
      <c r="A7" s="4" t="s">
        <v>2489</v>
      </c>
      <c r="B7" s="2" t="s">
        <v>2487</v>
      </c>
      <c r="C7" s="2" t="s">
        <v>2488</v>
      </c>
      <c r="D7" s="5" t="s">
        <v>2490</v>
      </c>
      <c r="E7" s="4" t="s">
        <v>2491</v>
      </c>
      <c r="F7" s="6">
        <v>14277629</v>
      </c>
      <c r="G7" s="3">
        <v>14277629</v>
      </c>
      <c r="H7" s="7">
        <v>733004780226</v>
      </c>
      <c r="I7" s="8" t="s">
        <v>3203</v>
      </c>
      <c r="J7" s="4">
        <v>2</v>
      </c>
      <c r="K7" s="9">
        <v>7.99</v>
      </c>
      <c r="L7" s="9">
        <v>15.98</v>
      </c>
      <c r="M7" s="4" t="s">
        <v>3149</v>
      </c>
      <c r="N7" s="4" t="s">
        <v>2638</v>
      </c>
      <c r="O7" s="4" t="s">
        <v>2653</v>
      </c>
      <c r="P7" s="4" t="s">
        <v>2602</v>
      </c>
      <c r="Q7" s="4" t="s">
        <v>2528</v>
      </c>
      <c r="R7" s="4"/>
      <c r="S7" s="4"/>
      <c r="T7" s="4" t="str">
        <f>HYPERLINK("http://slimages.macys.com/is/image/MCY/20450168 ")</f>
        <v xml:space="preserve">http://slimages.macys.com/is/image/MCY/20450168 </v>
      </c>
    </row>
    <row r="8" spans="1:20" ht="15" customHeight="1" x14ac:dyDescent="0.25">
      <c r="A8" s="4" t="s">
        <v>2489</v>
      </c>
      <c r="B8" s="2" t="s">
        <v>2487</v>
      </c>
      <c r="C8" s="2" t="s">
        <v>2488</v>
      </c>
      <c r="D8" s="5" t="s">
        <v>2490</v>
      </c>
      <c r="E8" s="4" t="s">
        <v>2491</v>
      </c>
      <c r="F8" s="6">
        <v>14277629</v>
      </c>
      <c r="G8" s="3">
        <v>14277629</v>
      </c>
      <c r="H8" s="7">
        <v>762120084758</v>
      </c>
      <c r="I8" s="8" t="s">
        <v>1177</v>
      </c>
      <c r="J8" s="4">
        <v>1</v>
      </c>
      <c r="K8" s="9">
        <v>7.99</v>
      </c>
      <c r="L8" s="9">
        <v>7.99</v>
      </c>
      <c r="M8" s="4" t="s">
        <v>3212</v>
      </c>
      <c r="N8" s="4" t="s">
        <v>2638</v>
      </c>
      <c r="O8" s="4" t="s">
        <v>2628</v>
      </c>
      <c r="P8" s="4" t="s">
        <v>2602</v>
      </c>
      <c r="Q8" s="4" t="s">
        <v>2528</v>
      </c>
      <c r="R8" s="4"/>
      <c r="S8" s="4"/>
      <c r="T8" s="4" t="str">
        <f>HYPERLINK("http://slimages.macys.com/is/image/MCY/1088549 ")</f>
        <v xml:space="preserve">http://slimages.macys.com/is/image/MCY/1088549 </v>
      </c>
    </row>
    <row r="9" spans="1:20" ht="15" customHeight="1" x14ac:dyDescent="0.25">
      <c r="A9" s="4" t="s">
        <v>2489</v>
      </c>
      <c r="B9" s="2" t="s">
        <v>2487</v>
      </c>
      <c r="C9" s="2" t="s">
        <v>2488</v>
      </c>
      <c r="D9" s="5" t="s">
        <v>2490</v>
      </c>
      <c r="E9" s="4" t="s">
        <v>2491</v>
      </c>
      <c r="F9" s="6">
        <v>14277629</v>
      </c>
      <c r="G9" s="3">
        <v>14277629</v>
      </c>
      <c r="H9" s="7">
        <v>762120162593</v>
      </c>
      <c r="I9" s="8" t="s">
        <v>2032</v>
      </c>
      <c r="J9" s="4">
        <v>1</v>
      </c>
      <c r="K9" s="9">
        <v>7.99</v>
      </c>
      <c r="L9" s="9">
        <v>7.99</v>
      </c>
      <c r="M9" s="4" t="s">
        <v>1178</v>
      </c>
      <c r="N9" s="4" t="s">
        <v>2514</v>
      </c>
      <c r="O9" s="4" t="s">
        <v>2629</v>
      </c>
      <c r="P9" s="4" t="s">
        <v>2602</v>
      </c>
      <c r="Q9" s="4" t="s">
        <v>2528</v>
      </c>
      <c r="R9" s="4"/>
      <c r="S9" s="4"/>
      <c r="T9" s="4" t="str">
        <f>HYPERLINK("http://slimages.macys.com/is/image/MCY/20819695 ")</f>
        <v xml:space="preserve">http://slimages.macys.com/is/image/MCY/20819695 </v>
      </c>
    </row>
    <row r="10" spans="1:20" ht="15" customHeight="1" x14ac:dyDescent="0.25">
      <c r="A10" s="4" t="s">
        <v>2489</v>
      </c>
      <c r="B10" s="2" t="s">
        <v>2487</v>
      </c>
      <c r="C10" s="2" t="s">
        <v>2488</v>
      </c>
      <c r="D10" s="5" t="s">
        <v>2490</v>
      </c>
      <c r="E10" s="4" t="s">
        <v>2491</v>
      </c>
      <c r="F10" s="6">
        <v>14277629</v>
      </c>
      <c r="G10" s="3">
        <v>14277629</v>
      </c>
      <c r="H10" s="7">
        <v>733004779046</v>
      </c>
      <c r="I10" s="8" t="s">
        <v>1179</v>
      </c>
      <c r="J10" s="4">
        <v>1</v>
      </c>
      <c r="K10" s="9">
        <v>7.99</v>
      </c>
      <c r="L10" s="9">
        <v>7.99</v>
      </c>
      <c r="M10" s="4" t="s">
        <v>1180</v>
      </c>
      <c r="N10" s="4" t="s">
        <v>2632</v>
      </c>
      <c r="O10" s="4" t="s">
        <v>2629</v>
      </c>
      <c r="P10" s="4" t="s">
        <v>2602</v>
      </c>
      <c r="Q10" s="4" t="s">
        <v>2528</v>
      </c>
      <c r="R10" s="4"/>
      <c r="S10" s="4"/>
      <c r="T10" s="4" t="str">
        <f>HYPERLINK("http://slimages.macys.com/is/image/MCY/20450147 ")</f>
        <v xml:space="preserve">http://slimages.macys.com/is/image/MCY/20450147 </v>
      </c>
    </row>
    <row r="11" spans="1:20" ht="15" customHeight="1" x14ac:dyDescent="0.25">
      <c r="A11" s="4" t="s">
        <v>2489</v>
      </c>
      <c r="B11" s="2" t="s">
        <v>2487</v>
      </c>
      <c r="C11" s="2" t="s">
        <v>2488</v>
      </c>
      <c r="D11" s="5" t="s">
        <v>2490</v>
      </c>
      <c r="E11" s="4" t="s">
        <v>2491</v>
      </c>
      <c r="F11" s="6">
        <v>14277629</v>
      </c>
      <c r="G11" s="3">
        <v>14277629</v>
      </c>
      <c r="H11" s="7">
        <v>733004780028</v>
      </c>
      <c r="I11" s="8" t="s">
        <v>1982</v>
      </c>
      <c r="J11" s="4">
        <v>1</v>
      </c>
      <c r="K11" s="9">
        <v>7.99</v>
      </c>
      <c r="L11" s="9">
        <v>7.99</v>
      </c>
      <c r="M11" s="4" t="s">
        <v>3128</v>
      </c>
      <c r="N11" s="4" t="s">
        <v>2632</v>
      </c>
      <c r="O11" s="4" t="s">
        <v>2629</v>
      </c>
      <c r="P11" s="4" t="s">
        <v>2602</v>
      </c>
      <c r="Q11" s="4" t="s">
        <v>2528</v>
      </c>
      <c r="R11" s="4"/>
      <c r="S11" s="4"/>
      <c r="T11" s="4" t="str">
        <f>HYPERLINK("http://slimages.macys.com/is/image/MCY/20450161 ")</f>
        <v xml:space="preserve">http://slimages.macys.com/is/image/MCY/20450161 </v>
      </c>
    </row>
    <row r="12" spans="1:20" ht="15" customHeight="1" x14ac:dyDescent="0.25">
      <c r="A12" s="4" t="s">
        <v>2489</v>
      </c>
      <c r="B12" s="2" t="s">
        <v>2487</v>
      </c>
      <c r="C12" s="2" t="s">
        <v>2488</v>
      </c>
      <c r="D12" s="5" t="s">
        <v>2490</v>
      </c>
      <c r="E12" s="4" t="s">
        <v>2491</v>
      </c>
      <c r="F12" s="6">
        <v>14277629</v>
      </c>
      <c r="G12" s="3">
        <v>14277629</v>
      </c>
      <c r="H12" s="7">
        <v>733004744556</v>
      </c>
      <c r="I12" s="8" t="s">
        <v>1181</v>
      </c>
      <c r="J12" s="4">
        <v>1</v>
      </c>
      <c r="K12" s="9">
        <v>7.99</v>
      </c>
      <c r="L12" s="9">
        <v>7.99</v>
      </c>
      <c r="M12" s="4" t="s">
        <v>1182</v>
      </c>
      <c r="N12" s="4" t="s">
        <v>2501</v>
      </c>
      <c r="O12" s="4" t="s">
        <v>2628</v>
      </c>
      <c r="P12" s="4" t="s">
        <v>2503</v>
      </c>
      <c r="Q12" s="4" t="s">
        <v>2504</v>
      </c>
      <c r="R12" s="4"/>
      <c r="S12" s="4"/>
      <c r="T12" s="4" t="str">
        <f>HYPERLINK("http://slimages.macys.com/is/image/MCY/19977837 ")</f>
        <v xml:space="preserve">http://slimages.macys.com/is/image/MCY/19977837 </v>
      </c>
    </row>
    <row r="13" spans="1:20" ht="15" customHeight="1" x14ac:dyDescent="0.25">
      <c r="A13" s="4" t="s">
        <v>2489</v>
      </c>
      <c r="B13" s="2" t="s">
        <v>2487</v>
      </c>
      <c r="C13" s="2" t="s">
        <v>2488</v>
      </c>
      <c r="D13" s="5" t="s">
        <v>2490</v>
      </c>
      <c r="E13" s="4" t="s">
        <v>2491</v>
      </c>
      <c r="F13" s="6">
        <v>14277629</v>
      </c>
      <c r="G13" s="3">
        <v>14277629</v>
      </c>
      <c r="H13" s="7">
        <v>733004742910</v>
      </c>
      <c r="I13" s="8" t="s">
        <v>1183</v>
      </c>
      <c r="J13" s="4">
        <v>1</v>
      </c>
      <c r="K13" s="9">
        <v>7.99</v>
      </c>
      <c r="L13" s="9">
        <v>7.99</v>
      </c>
      <c r="M13" s="4" t="s">
        <v>1184</v>
      </c>
      <c r="N13" s="4" t="s">
        <v>2638</v>
      </c>
      <c r="O13" s="4" t="s">
        <v>2628</v>
      </c>
      <c r="P13" s="4" t="s">
        <v>2503</v>
      </c>
      <c r="Q13" s="4" t="s">
        <v>2504</v>
      </c>
      <c r="R13" s="4"/>
      <c r="S13" s="4"/>
      <c r="T13" s="4" t="str">
        <f>HYPERLINK("http://slimages.macys.com/is/image/MCY/19983979 ")</f>
        <v xml:space="preserve">http://slimages.macys.com/is/image/MCY/19983979 </v>
      </c>
    </row>
    <row r="14" spans="1:20" ht="15" customHeight="1" x14ac:dyDescent="0.25">
      <c r="A14" s="4" t="s">
        <v>2489</v>
      </c>
      <c r="B14" s="2" t="s">
        <v>2487</v>
      </c>
      <c r="C14" s="2" t="s">
        <v>2488</v>
      </c>
      <c r="D14" s="5" t="s">
        <v>2490</v>
      </c>
      <c r="E14" s="4" t="s">
        <v>2491</v>
      </c>
      <c r="F14" s="6">
        <v>14277629</v>
      </c>
      <c r="G14" s="3">
        <v>14277629</v>
      </c>
      <c r="H14" s="7">
        <v>733003925635</v>
      </c>
      <c r="I14" s="8" t="s">
        <v>1185</v>
      </c>
      <c r="J14" s="4">
        <v>1</v>
      </c>
      <c r="K14" s="9">
        <v>7.99</v>
      </c>
      <c r="L14" s="9">
        <v>7.99</v>
      </c>
      <c r="M14" s="4" t="s">
        <v>1186</v>
      </c>
      <c r="N14" s="4" t="s">
        <v>2611</v>
      </c>
      <c r="O14" s="4" t="s">
        <v>2628</v>
      </c>
      <c r="P14" s="4" t="s">
        <v>2503</v>
      </c>
      <c r="Q14" s="4" t="s">
        <v>2504</v>
      </c>
      <c r="R14" s="4"/>
      <c r="S14" s="4"/>
      <c r="T14" s="4" t="str">
        <f>HYPERLINK("http://slimages.macys.com/is/image/MCY/17656375 ")</f>
        <v xml:space="preserve">http://slimages.macys.com/is/image/MCY/17656375 </v>
      </c>
    </row>
    <row r="15" spans="1:20" ht="15" customHeight="1" x14ac:dyDescent="0.25">
      <c r="A15" s="4" t="s">
        <v>2489</v>
      </c>
      <c r="B15" s="2" t="s">
        <v>2487</v>
      </c>
      <c r="C15" s="2" t="s">
        <v>2488</v>
      </c>
      <c r="D15" s="5" t="s">
        <v>2490</v>
      </c>
      <c r="E15" s="4" t="s">
        <v>2491</v>
      </c>
      <c r="F15" s="6">
        <v>14277629</v>
      </c>
      <c r="G15" s="3">
        <v>14277629</v>
      </c>
      <c r="H15" s="7">
        <v>732999380558</v>
      </c>
      <c r="I15" s="8" t="s">
        <v>1187</v>
      </c>
      <c r="J15" s="4">
        <v>1</v>
      </c>
      <c r="K15" s="9">
        <v>19.989999999999998</v>
      </c>
      <c r="L15" s="9">
        <v>19.989999999999998</v>
      </c>
      <c r="M15" s="4" t="s">
        <v>1188</v>
      </c>
      <c r="N15" s="4" t="s">
        <v>2505</v>
      </c>
      <c r="O15" s="4" t="s">
        <v>2629</v>
      </c>
      <c r="P15" s="4" t="s">
        <v>2602</v>
      </c>
      <c r="Q15" s="4" t="s">
        <v>2528</v>
      </c>
      <c r="R15" s="4"/>
      <c r="S15" s="4"/>
      <c r="T15" s="4" t="str">
        <f>HYPERLINK("http://slimages.macys.com/is/image/MCY/18705154 ")</f>
        <v xml:space="preserve">http://slimages.macys.com/is/image/MCY/18705154 </v>
      </c>
    </row>
    <row r="16" spans="1:20" ht="15" customHeight="1" x14ac:dyDescent="0.25">
      <c r="A16" s="4" t="s">
        <v>2489</v>
      </c>
      <c r="B16" s="2" t="s">
        <v>2487</v>
      </c>
      <c r="C16" s="2" t="s">
        <v>2488</v>
      </c>
      <c r="D16" s="5" t="s">
        <v>2490</v>
      </c>
      <c r="E16" s="4" t="s">
        <v>2491</v>
      </c>
      <c r="F16" s="6">
        <v>14277629</v>
      </c>
      <c r="G16" s="3">
        <v>14277629</v>
      </c>
      <c r="H16" s="7">
        <v>733004291043</v>
      </c>
      <c r="I16" s="8" t="s">
        <v>1189</v>
      </c>
      <c r="J16" s="4">
        <v>1</v>
      </c>
      <c r="K16" s="9">
        <v>7.99</v>
      </c>
      <c r="L16" s="9">
        <v>7.99</v>
      </c>
      <c r="M16" s="4" t="s">
        <v>1190</v>
      </c>
      <c r="N16" s="4" t="s">
        <v>2665</v>
      </c>
      <c r="O16" s="4" t="s">
        <v>2628</v>
      </c>
      <c r="P16" s="4" t="s">
        <v>2503</v>
      </c>
      <c r="Q16" s="4" t="s">
        <v>2504</v>
      </c>
      <c r="R16" s="4"/>
      <c r="S16" s="4"/>
      <c r="T16" s="4" t="str">
        <f>HYPERLINK("http://slimages.macys.com/is/image/MCY/19746550 ")</f>
        <v xml:space="preserve">http://slimages.macys.com/is/image/MCY/19746550 </v>
      </c>
    </row>
    <row r="17" spans="1:20" ht="15" customHeight="1" x14ac:dyDescent="0.25">
      <c r="A17" s="4" t="s">
        <v>2489</v>
      </c>
      <c r="B17" s="2" t="s">
        <v>2487</v>
      </c>
      <c r="C17" s="2" t="s">
        <v>2488</v>
      </c>
      <c r="D17" s="5" t="s">
        <v>2490</v>
      </c>
      <c r="E17" s="4" t="s">
        <v>2491</v>
      </c>
      <c r="F17" s="6">
        <v>14277629</v>
      </c>
      <c r="G17" s="3">
        <v>14277629</v>
      </c>
      <c r="H17" s="7">
        <v>194133423307</v>
      </c>
      <c r="I17" s="8" t="s">
        <v>1191</v>
      </c>
      <c r="J17" s="4">
        <v>1</v>
      </c>
      <c r="K17" s="9">
        <v>22.52</v>
      </c>
      <c r="L17" s="9">
        <v>22.52</v>
      </c>
      <c r="M17" s="4" t="s">
        <v>2784</v>
      </c>
      <c r="N17" s="4"/>
      <c r="O17" s="4" t="s">
        <v>2591</v>
      </c>
      <c r="P17" s="4" t="s">
        <v>2494</v>
      </c>
      <c r="Q17" s="4" t="s">
        <v>2495</v>
      </c>
      <c r="R17" s="4"/>
      <c r="S17" s="4"/>
      <c r="T17" s="4" t="str">
        <f>HYPERLINK("http://slimages.macys.com/is/image/MCY/19836144 ")</f>
        <v xml:space="preserve">http://slimages.macys.com/is/image/MCY/19836144 </v>
      </c>
    </row>
    <row r="18" spans="1:20" ht="15" customHeight="1" x14ac:dyDescent="0.25">
      <c r="A18" s="4" t="s">
        <v>2489</v>
      </c>
      <c r="B18" s="2" t="s">
        <v>2487</v>
      </c>
      <c r="C18" s="2" t="s">
        <v>2488</v>
      </c>
      <c r="D18" s="5" t="s">
        <v>2490</v>
      </c>
      <c r="E18" s="4" t="s">
        <v>2491</v>
      </c>
      <c r="F18" s="6">
        <v>14277629</v>
      </c>
      <c r="G18" s="3">
        <v>14277629</v>
      </c>
      <c r="H18" s="7">
        <v>762120123907</v>
      </c>
      <c r="I18" s="8" t="s">
        <v>1192</v>
      </c>
      <c r="J18" s="4">
        <v>1</v>
      </c>
      <c r="K18" s="9">
        <v>7.99</v>
      </c>
      <c r="L18" s="9">
        <v>7.99</v>
      </c>
      <c r="M18" s="4" t="s">
        <v>3176</v>
      </c>
      <c r="N18" s="4" t="s">
        <v>2531</v>
      </c>
      <c r="O18" s="4" t="s">
        <v>2629</v>
      </c>
      <c r="P18" s="4" t="s">
        <v>2503</v>
      </c>
      <c r="Q18" s="4" t="s">
        <v>2504</v>
      </c>
      <c r="R18" s="4"/>
      <c r="S18" s="4"/>
      <c r="T18" s="4" t="str">
        <f>HYPERLINK("http://slimages.macys.com/is/image/MCY/20385747 ")</f>
        <v xml:space="preserve">http://slimages.macys.com/is/image/MCY/20385747 </v>
      </c>
    </row>
    <row r="19" spans="1:20" ht="15" customHeight="1" x14ac:dyDescent="0.25">
      <c r="A19" s="4" t="s">
        <v>2489</v>
      </c>
      <c r="B19" s="2" t="s">
        <v>2487</v>
      </c>
      <c r="C19" s="2" t="s">
        <v>2488</v>
      </c>
      <c r="D19" s="5" t="s">
        <v>2490</v>
      </c>
      <c r="E19" s="4" t="s">
        <v>2491</v>
      </c>
      <c r="F19" s="6">
        <v>14277629</v>
      </c>
      <c r="G19" s="3">
        <v>14277629</v>
      </c>
      <c r="H19" s="7">
        <v>762120123853</v>
      </c>
      <c r="I19" s="8" t="s">
        <v>3285</v>
      </c>
      <c r="J19" s="4">
        <v>2</v>
      </c>
      <c r="K19" s="9">
        <v>7.99</v>
      </c>
      <c r="L19" s="9">
        <v>15.98</v>
      </c>
      <c r="M19" s="4" t="s">
        <v>3139</v>
      </c>
      <c r="N19" s="4" t="s">
        <v>2561</v>
      </c>
      <c r="O19" s="4" t="s">
        <v>2628</v>
      </c>
      <c r="P19" s="4" t="s">
        <v>2503</v>
      </c>
      <c r="Q19" s="4" t="s">
        <v>2504</v>
      </c>
      <c r="R19" s="4"/>
      <c r="S19" s="4"/>
      <c r="T19" s="4" t="str">
        <f>HYPERLINK("http://slimages.macys.com/is/image/MCY/20386027 ")</f>
        <v xml:space="preserve">http://slimages.macys.com/is/image/MCY/20386027 </v>
      </c>
    </row>
    <row r="20" spans="1:20" ht="15" customHeight="1" x14ac:dyDescent="0.25">
      <c r="A20" s="4" t="s">
        <v>2489</v>
      </c>
      <c r="B20" s="2" t="s">
        <v>2487</v>
      </c>
      <c r="C20" s="2" t="s">
        <v>2488</v>
      </c>
      <c r="D20" s="5" t="s">
        <v>2490</v>
      </c>
      <c r="E20" s="4" t="s">
        <v>2491</v>
      </c>
      <c r="F20" s="6">
        <v>14277629</v>
      </c>
      <c r="G20" s="3">
        <v>14277629</v>
      </c>
      <c r="H20" s="7">
        <v>733004780080</v>
      </c>
      <c r="I20" s="8" t="s">
        <v>2071</v>
      </c>
      <c r="J20" s="4">
        <v>1</v>
      </c>
      <c r="K20" s="9">
        <v>7.99</v>
      </c>
      <c r="L20" s="9">
        <v>7.99</v>
      </c>
      <c r="M20" s="4" t="s">
        <v>2692</v>
      </c>
      <c r="N20" s="4" t="s">
        <v>2501</v>
      </c>
      <c r="O20" s="4" t="s">
        <v>2629</v>
      </c>
      <c r="P20" s="4" t="s">
        <v>2602</v>
      </c>
      <c r="Q20" s="4" t="s">
        <v>2528</v>
      </c>
      <c r="R20" s="4"/>
      <c r="S20" s="4"/>
      <c r="T20" s="4" t="str">
        <f>HYPERLINK("http://slimages.macys.com/is/image/MCY/20450163 ")</f>
        <v xml:space="preserve">http://slimages.macys.com/is/image/MCY/20450163 </v>
      </c>
    </row>
    <row r="21" spans="1:20" ht="15" customHeight="1" x14ac:dyDescent="0.25">
      <c r="A21" s="4" t="s">
        <v>2489</v>
      </c>
      <c r="B21" s="2" t="s">
        <v>2487</v>
      </c>
      <c r="C21" s="2" t="s">
        <v>2488</v>
      </c>
      <c r="D21" s="5" t="s">
        <v>2490</v>
      </c>
      <c r="E21" s="4" t="s">
        <v>2491</v>
      </c>
      <c r="F21" s="6">
        <v>14277629</v>
      </c>
      <c r="G21" s="3">
        <v>14277629</v>
      </c>
      <c r="H21" s="7">
        <v>733004780189</v>
      </c>
      <c r="I21" s="8" t="s">
        <v>3191</v>
      </c>
      <c r="J21" s="4">
        <v>1</v>
      </c>
      <c r="K21" s="9">
        <v>7.99</v>
      </c>
      <c r="L21" s="9">
        <v>7.99</v>
      </c>
      <c r="M21" s="4" t="s">
        <v>3149</v>
      </c>
      <c r="N21" s="4" t="s">
        <v>2638</v>
      </c>
      <c r="O21" s="4">
        <v>6</v>
      </c>
      <c r="P21" s="4" t="s">
        <v>2602</v>
      </c>
      <c r="Q21" s="4" t="s">
        <v>2528</v>
      </c>
      <c r="R21" s="4"/>
      <c r="S21" s="4"/>
      <c r="T21" s="4" t="str">
        <f>HYPERLINK("http://slimages.macys.com/is/image/MCY/20450168 ")</f>
        <v xml:space="preserve">http://slimages.macys.com/is/image/MCY/20450168 </v>
      </c>
    </row>
    <row r="22" spans="1:20" ht="15" customHeight="1" x14ac:dyDescent="0.25">
      <c r="A22" s="4" t="s">
        <v>2489</v>
      </c>
      <c r="B22" s="2" t="s">
        <v>2487</v>
      </c>
      <c r="C22" s="2" t="s">
        <v>2488</v>
      </c>
      <c r="D22" s="5" t="s">
        <v>2490</v>
      </c>
      <c r="E22" s="4" t="s">
        <v>2491</v>
      </c>
      <c r="F22" s="6">
        <v>14277629</v>
      </c>
      <c r="G22" s="3">
        <v>14277629</v>
      </c>
      <c r="H22" s="7">
        <v>733004780127</v>
      </c>
      <c r="I22" s="8" t="s">
        <v>3125</v>
      </c>
      <c r="J22" s="4">
        <v>2</v>
      </c>
      <c r="K22" s="9">
        <v>7.99</v>
      </c>
      <c r="L22" s="9">
        <v>15.98</v>
      </c>
      <c r="M22" s="4" t="s">
        <v>3126</v>
      </c>
      <c r="N22" s="4" t="s">
        <v>2567</v>
      </c>
      <c r="O22" s="4">
        <v>6</v>
      </c>
      <c r="P22" s="4" t="s">
        <v>2602</v>
      </c>
      <c r="Q22" s="4" t="s">
        <v>2528</v>
      </c>
      <c r="R22" s="4"/>
      <c r="S22" s="4"/>
      <c r="T22" s="4" t="str">
        <f>HYPERLINK("http://slimages.macys.com/is/image/MCY/20450165 ")</f>
        <v xml:space="preserve">http://slimages.macys.com/is/image/MCY/20450165 </v>
      </c>
    </row>
    <row r="23" spans="1:20" ht="15" customHeight="1" x14ac:dyDescent="0.25">
      <c r="A23" s="4" t="s">
        <v>2489</v>
      </c>
      <c r="B23" s="2" t="s">
        <v>2487</v>
      </c>
      <c r="C23" s="2" t="s">
        <v>2488</v>
      </c>
      <c r="D23" s="5" t="s">
        <v>2490</v>
      </c>
      <c r="E23" s="4" t="s">
        <v>2491</v>
      </c>
      <c r="F23" s="6">
        <v>14277629</v>
      </c>
      <c r="G23" s="3">
        <v>14277629</v>
      </c>
      <c r="H23" s="7">
        <v>733004780165</v>
      </c>
      <c r="I23" s="8" t="s">
        <v>1193</v>
      </c>
      <c r="J23" s="4">
        <v>2</v>
      </c>
      <c r="K23" s="9">
        <v>7.99</v>
      </c>
      <c r="L23" s="9">
        <v>15.98</v>
      </c>
      <c r="M23" s="4" t="s">
        <v>3126</v>
      </c>
      <c r="N23" s="4" t="s">
        <v>2567</v>
      </c>
      <c r="O23" s="4" t="s">
        <v>2653</v>
      </c>
      <c r="P23" s="4" t="s">
        <v>2602</v>
      </c>
      <c r="Q23" s="4" t="s">
        <v>2528</v>
      </c>
      <c r="R23" s="4"/>
      <c r="S23" s="4"/>
      <c r="T23" s="4" t="str">
        <f>HYPERLINK("http://slimages.macys.com/is/image/MCY/20450165 ")</f>
        <v xml:space="preserve">http://slimages.macys.com/is/image/MCY/20450165 </v>
      </c>
    </row>
    <row r="24" spans="1:20" ht="15" customHeight="1" x14ac:dyDescent="0.25">
      <c r="A24" s="4" t="s">
        <v>2489</v>
      </c>
      <c r="B24" s="2" t="s">
        <v>2487</v>
      </c>
      <c r="C24" s="2" t="s">
        <v>2488</v>
      </c>
      <c r="D24" s="5" t="s">
        <v>2490</v>
      </c>
      <c r="E24" s="4" t="s">
        <v>2491</v>
      </c>
      <c r="F24" s="6">
        <v>14277629</v>
      </c>
      <c r="G24" s="3">
        <v>14277629</v>
      </c>
      <c r="H24" s="7">
        <v>762120020282</v>
      </c>
      <c r="I24" s="8" t="s">
        <v>1194</v>
      </c>
      <c r="J24" s="4">
        <v>1</v>
      </c>
      <c r="K24" s="9">
        <v>6.99</v>
      </c>
      <c r="L24" s="9">
        <v>6.99</v>
      </c>
      <c r="M24" s="4" t="s">
        <v>3235</v>
      </c>
      <c r="N24" s="4" t="s">
        <v>2565</v>
      </c>
      <c r="O24" s="4" t="s">
        <v>2502</v>
      </c>
      <c r="P24" s="4" t="s">
        <v>2503</v>
      </c>
      <c r="Q24" s="4" t="s">
        <v>2504</v>
      </c>
      <c r="R24" s="4"/>
      <c r="S24" s="4"/>
      <c r="T24" s="4" t="str">
        <f>HYPERLINK("http://slimages.macys.com/is/image/MCY/20436495 ")</f>
        <v xml:space="preserve">http://slimages.macys.com/is/image/MCY/20436495 </v>
      </c>
    </row>
    <row r="25" spans="1:20" ht="15" customHeight="1" x14ac:dyDescent="0.25">
      <c r="A25" s="4" t="s">
        <v>2489</v>
      </c>
      <c r="B25" s="2" t="s">
        <v>2487</v>
      </c>
      <c r="C25" s="2" t="s">
        <v>2488</v>
      </c>
      <c r="D25" s="5" t="s">
        <v>2490</v>
      </c>
      <c r="E25" s="4" t="s">
        <v>2491</v>
      </c>
      <c r="F25" s="6">
        <v>14277629</v>
      </c>
      <c r="G25" s="3">
        <v>14277629</v>
      </c>
      <c r="H25" s="7">
        <v>194257621504</v>
      </c>
      <c r="I25" s="8" t="s">
        <v>1195</v>
      </c>
      <c r="J25" s="4">
        <v>1</v>
      </c>
      <c r="K25" s="9">
        <v>7.99</v>
      </c>
      <c r="L25" s="9">
        <v>7.99</v>
      </c>
      <c r="M25" s="4" t="s">
        <v>2684</v>
      </c>
      <c r="N25" s="4" t="s">
        <v>2523</v>
      </c>
      <c r="O25" s="4" t="s">
        <v>2524</v>
      </c>
      <c r="P25" s="4" t="s">
        <v>2499</v>
      </c>
      <c r="Q25" s="4" t="s">
        <v>2525</v>
      </c>
      <c r="R25" s="4"/>
      <c r="S25" s="4"/>
      <c r="T25" s="4" t="str">
        <f>HYPERLINK("http://slimages.macys.com/is/image/MCY/20417762 ")</f>
        <v xml:space="preserve">http://slimages.macys.com/is/image/MCY/20417762 </v>
      </c>
    </row>
    <row r="26" spans="1:20" ht="15" customHeight="1" x14ac:dyDescent="0.25">
      <c r="A26" s="4" t="s">
        <v>2489</v>
      </c>
      <c r="B26" s="2" t="s">
        <v>2487</v>
      </c>
      <c r="C26" s="2" t="s">
        <v>2488</v>
      </c>
      <c r="D26" s="5" t="s">
        <v>2490</v>
      </c>
      <c r="E26" s="4" t="s">
        <v>2491</v>
      </c>
      <c r="F26" s="6">
        <v>14277629</v>
      </c>
      <c r="G26" s="3">
        <v>14277629</v>
      </c>
      <c r="H26" s="7">
        <v>762120119641</v>
      </c>
      <c r="I26" s="8" t="s">
        <v>1933</v>
      </c>
      <c r="J26" s="4">
        <v>1</v>
      </c>
      <c r="K26" s="9">
        <v>6.99</v>
      </c>
      <c r="L26" s="9">
        <v>6.99</v>
      </c>
      <c r="M26" s="4" t="s">
        <v>3245</v>
      </c>
      <c r="N26" s="4" t="s">
        <v>2497</v>
      </c>
      <c r="O26" s="4" t="s">
        <v>2559</v>
      </c>
      <c r="P26" s="4" t="s">
        <v>2503</v>
      </c>
      <c r="Q26" s="4" t="s">
        <v>2504</v>
      </c>
      <c r="R26" s="4"/>
      <c r="S26" s="4"/>
      <c r="T26" s="4" t="str">
        <f>HYPERLINK("http://slimages.macys.com/is/image/MCY/20386245 ")</f>
        <v xml:space="preserve">http://slimages.macys.com/is/image/MCY/20386245 </v>
      </c>
    </row>
    <row r="27" spans="1:20" ht="15" customHeight="1" x14ac:dyDescent="0.25">
      <c r="A27" s="4" t="s">
        <v>2489</v>
      </c>
      <c r="B27" s="2" t="s">
        <v>2487</v>
      </c>
      <c r="C27" s="2" t="s">
        <v>2488</v>
      </c>
      <c r="D27" s="5" t="s">
        <v>2490</v>
      </c>
      <c r="E27" s="4" t="s">
        <v>2491</v>
      </c>
      <c r="F27" s="6">
        <v>14277629</v>
      </c>
      <c r="G27" s="3">
        <v>14277629</v>
      </c>
      <c r="H27" s="7">
        <v>652874297910</v>
      </c>
      <c r="I27" s="8" t="s">
        <v>1196</v>
      </c>
      <c r="J27" s="4">
        <v>1</v>
      </c>
      <c r="K27" s="9">
        <v>32.99</v>
      </c>
      <c r="L27" s="9">
        <v>32.99</v>
      </c>
      <c r="M27" s="4" t="s">
        <v>1197</v>
      </c>
      <c r="N27" s="4" t="s">
        <v>2497</v>
      </c>
      <c r="O27" s="4">
        <v>4</v>
      </c>
      <c r="P27" s="4" t="s">
        <v>2536</v>
      </c>
      <c r="Q27" s="4" t="s">
        <v>2537</v>
      </c>
      <c r="R27" s="4"/>
      <c r="S27" s="4"/>
      <c r="T27" s="4"/>
    </row>
    <row r="28" spans="1:20" ht="15" customHeight="1" x14ac:dyDescent="0.25">
      <c r="A28" s="4" t="s">
        <v>2489</v>
      </c>
      <c r="B28" s="2" t="s">
        <v>2487</v>
      </c>
      <c r="C28" s="2" t="s">
        <v>2488</v>
      </c>
      <c r="D28" s="5" t="s">
        <v>2490</v>
      </c>
      <c r="E28" s="4" t="s">
        <v>2491</v>
      </c>
      <c r="F28" s="6">
        <v>14277629</v>
      </c>
      <c r="G28" s="3">
        <v>14277629</v>
      </c>
      <c r="H28" s="7">
        <v>195883942155</v>
      </c>
      <c r="I28" s="8" t="s">
        <v>1820</v>
      </c>
      <c r="J28" s="4">
        <v>1</v>
      </c>
      <c r="K28" s="9">
        <v>7.99</v>
      </c>
      <c r="L28" s="9">
        <v>7.99</v>
      </c>
      <c r="M28" s="4" t="s">
        <v>3105</v>
      </c>
      <c r="N28" s="4" t="s">
        <v>2497</v>
      </c>
      <c r="O28" s="4">
        <v>2</v>
      </c>
      <c r="P28" s="4" t="s">
        <v>2506</v>
      </c>
      <c r="Q28" s="4" t="s">
        <v>2527</v>
      </c>
      <c r="R28" s="4"/>
      <c r="S28" s="4"/>
      <c r="T28" s="4" t="str">
        <f>HYPERLINK("http://slimages.macys.com/is/image/MCY/20726224 ")</f>
        <v xml:space="preserve">http://slimages.macys.com/is/image/MCY/20726224 </v>
      </c>
    </row>
    <row r="29" spans="1:20" ht="15" customHeight="1" x14ac:dyDescent="0.25">
      <c r="A29" s="4" t="s">
        <v>2489</v>
      </c>
      <c r="B29" s="2" t="s">
        <v>2487</v>
      </c>
      <c r="C29" s="2" t="s">
        <v>2488</v>
      </c>
      <c r="D29" s="5" t="s">
        <v>2490</v>
      </c>
      <c r="E29" s="4" t="s">
        <v>2491</v>
      </c>
      <c r="F29" s="6">
        <v>14277629</v>
      </c>
      <c r="G29" s="3">
        <v>14277629</v>
      </c>
      <c r="H29" s="7">
        <v>195251343164</v>
      </c>
      <c r="I29" s="8" t="s">
        <v>1198</v>
      </c>
      <c r="J29" s="4">
        <v>1</v>
      </c>
      <c r="K29" s="9">
        <v>20</v>
      </c>
      <c r="L29" s="9">
        <v>20</v>
      </c>
      <c r="M29" s="4">
        <v>1361819</v>
      </c>
      <c r="N29" s="4" t="s">
        <v>2774</v>
      </c>
      <c r="O29" s="4" t="s">
        <v>2555</v>
      </c>
      <c r="P29" s="4" t="s">
        <v>2499</v>
      </c>
      <c r="Q29" s="4" t="s">
        <v>2958</v>
      </c>
      <c r="R29" s="4"/>
      <c r="S29" s="4"/>
      <c r="T29" s="4" t="str">
        <f>HYPERLINK("http://slimages.macys.com/is/image/MCY/18796366 ")</f>
        <v xml:space="preserve">http://slimages.macys.com/is/image/MCY/18796366 </v>
      </c>
    </row>
    <row r="30" spans="1:20" ht="15" customHeight="1" x14ac:dyDescent="0.25">
      <c r="A30" s="4" t="s">
        <v>2489</v>
      </c>
      <c r="B30" s="2" t="s">
        <v>2487</v>
      </c>
      <c r="C30" s="2" t="s">
        <v>2488</v>
      </c>
      <c r="D30" s="5" t="s">
        <v>2490</v>
      </c>
      <c r="E30" s="4" t="s">
        <v>2491</v>
      </c>
      <c r="F30" s="6">
        <v>14277629</v>
      </c>
      <c r="G30" s="3">
        <v>14277629</v>
      </c>
      <c r="H30" s="7">
        <v>733003643331</v>
      </c>
      <c r="I30" s="8" t="s">
        <v>1199</v>
      </c>
      <c r="J30" s="4">
        <v>1</v>
      </c>
      <c r="K30" s="9">
        <v>21.99</v>
      </c>
      <c r="L30" s="9">
        <v>21.99</v>
      </c>
      <c r="M30" s="4" t="s">
        <v>2113</v>
      </c>
      <c r="N30" s="4" t="s">
        <v>2632</v>
      </c>
      <c r="O30" s="4"/>
      <c r="P30" s="4" t="s">
        <v>2515</v>
      </c>
      <c r="Q30" s="4" t="s">
        <v>2516</v>
      </c>
      <c r="R30" s="4"/>
      <c r="S30" s="4"/>
      <c r="T30" s="4" t="str">
        <f>HYPERLINK("http://slimages.macys.com/is/image/MCY/20143256 ")</f>
        <v xml:space="preserve">http://slimages.macys.com/is/image/MCY/20143256 </v>
      </c>
    </row>
    <row r="31" spans="1:20" ht="15" customHeight="1" x14ac:dyDescent="0.25">
      <c r="A31" s="4" t="s">
        <v>2489</v>
      </c>
      <c r="B31" s="2" t="s">
        <v>2487</v>
      </c>
      <c r="C31" s="2" t="s">
        <v>2488</v>
      </c>
      <c r="D31" s="5" t="s">
        <v>2490</v>
      </c>
      <c r="E31" s="4" t="s">
        <v>2491</v>
      </c>
      <c r="F31" s="6">
        <v>14277629</v>
      </c>
      <c r="G31" s="3">
        <v>14277629</v>
      </c>
      <c r="H31" s="7">
        <v>733004748554</v>
      </c>
      <c r="I31" s="8" t="s">
        <v>2286</v>
      </c>
      <c r="J31" s="4">
        <v>2</v>
      </c>
      <c r="K31" s="9">
        <v>7.99</v>
      </c>
      <c r="L31" s="9">
        <v>15.98</v>
      </c>
      <c r="M31" s="4" t="s">
        <v>2287</v>
      </c>
      <c r="N31" s="4" t="s">
        <v>2505</v>
      </c>
      <c r="O31" s="4" t="s">
        <v>2629</v>
      </c>
      <c r="P31" s="4" t="s">
        <v>2503</v>
      </c>
      <c r="Q31" s="4" t="s">
        <v>2504</v>
      </c>
      <c r="R31" s="4"/>
      <c r="S31" s="4"/>
      <c r="T31" s="4" t="str">
        <f>HYPERLINK("http://slimages.macys.com/is/image/MCY/19977352 ")</f>
        <v xml:space="preserve">http://slimages.macys.com/is/image/MCY/19977352 </v>
      </c>
    </row>
    <row r="32" spans="1:20" ht="15" customHeight="1" x14ac:dyDescent="0.25">
      <c r="A32" s="4" t="s">
        <v>2489</v>
      </c>
      <c r="B32" s="2" t="s">
        <v>2487</v>
      </c>
      <c r="C32" s="2" t="s">
        <v>2488</v>
      </c>
      <c r="D32" s="5" t="s">
        <v>2490</v>
      </c>
      <c r="E32" s="4" t="s">
        <v>2491</v>
      </c>
      <c r="F32" s="6">
        <v>14277629</v>
      </c>
      <c r="G32" s="3">
        <v>14277629</v>
      </c>
      <c r="H32" s="7">
        <v>762120077606</v>
      </c>
      <c r="I32" s="8" t="s">
        <v>1200</v>
      </c>
      <c r="J32" s="4">
        <v>1</v>
      </c>
      <c r="K32" s="9">
        <v>7.99</v>
      </c>
      <c r="L32" s="9">
        <v>7.99</v>
      </c>
      <c r="M32" s="4" t="s">
        <v>3094</v>
      </c>
      <c r="N32" s="4" t="s">
        <v>2565</v>
      </c>
      <c r="O32" s="4">
        <v>6</v>
      </c>
      <c r="P32" s="4" t="s">
        <v>2520</v>
      </c>
      <c r="Q32" s="4" t="s">
        <v>2528</v>
      </c>
      <c r="R32" s="4"/>
      <c r="S32" s="4"/>
      <c r="T32" s="4" t="str">
        <f>HYPERLINK("http://slimages.macys.com/is/image/MCY/20669884 ")</f>
        <v xml:space="preserve">http://slimages.macys.com/is/image/MCY/20669884 </v>
      </c>
    </row>
    <row r="33" spans="1:20" ht="15" customHeight="1" x14ac:dyDescent="0.25">
      <c r="A33" s="4" t="s">
        <v>2489</v>
      </c>
      <c r="B33" s="2" t="s">
        <v>2487</v>
      </c>
      <c r="C33" s="2" t="s">
        <v>2488</v>
      </c>
      <c r="D33" s="5" t="s">
        <v>2490</v>
      </c>
      <c r="E33" s="4" t="s">
        <v>2491</v>
      </c>
      <c r="F33" s="6">
        <v>14277629</v>
      </c>
      <c r="G33" s="3">
        <v>14277629</v>
      </c>
      <c r="H33" s="7">
        <v>194135524774</v>
      </c>
      <c r="I33" s="8" t="s">
        <v>1201</v>
      </c>
      <c r="J33" s="4">
        <v>1</v>
      </c>
      <c r="K33" s="9">
        <v>26.14</v>
      </c>
      <c r="L33" s="9">
        <v>26.14</v>
      </c>
      <c r="M33" s="4" t="s">
        <v>1202</v>
      </c>
      <c r="N33" s="4" t="s">
        <v>2731</v>
      </c>
      <c r="O33" s="4">
        <v>8</v>
      </c>
      <c r="P33" s="4" t="s">
        <v>2657</v>
      </c>
      <c r="Q33" s="4" t="s">
        <v>2658</v>
      </c>
      <c r="R33" s="4"/>
      <c r="S33" s="4"/>
      <c r="T33" s="4" t="str">
        <f>HYPERLINK("http://slimages.macys.com/is/image/MCY/19910743 ")</f>
        <v xml:space="preserve">http://slimages.macys.com/is/image/MCY/19910743 </v>
      </c>
    </row>
    <row r="34" spans="1:20" ht="15" customHeight="1" x14ac:dyDescent="0.25">
      <c r="A34" s="4" t="s">
        <v>2489</v>
      </c>
      <c r="B34" s="2" t="s">
        <v>2487</v>
      </c>
      <c r="C34" s="2" t="s">
        <v>2488</v>
      </c>
      <c r="D34" s="5" t="s">
        <v>2490</v>
      </c>
      <c r="E34" s="4" t="s">
        <v>2491</v>
      </c>
      <c r="F34" s="6">
        <v>14277629</v>
      </c>
      <c r="G34" s="3">
        <v>14277629</v>
      </c>
      <c r="H34" s="7">
        <v>677838742466</v>
      </c>
      <c r="I34" s="8" t="s">
        <v>1203</v>
      </c>
      <c r="J34" s="4">
        <v>1</v>
      </c>
      <c r="K34" s="9">
        <v>32.950000000000003</v>
      </c>
      <c r="L34" s="9">
        <v>32.950000000000003</v>
      </c>
      <c r="M34" s="4" t="s">
        <v>1869</v>
      </c>
      <c r="N34" s="4" t="s">
        <v>2523</v>
      </c>
      <c r="O34" s="4">
        <v>18</v>
      </c>
      <c r="P34" s="4" t="s">
        <v>2564</v>
      </c>
      <c r="Q34" s="4" t="s">
        <v>2507</v>
      </c>
      <c r="R34" s="4"/>
      <c r="S34" s="4"/>
      <c r="T34" s="4" t="str">
        <f>HYPERLINK("http://slimages.macys.com/is/image/MCY/21168682 ")</f>
        <v xml:space="preserve">http://slimages.macys.com/is/image/MCY/21168682 </v>
      </c>
    </row>
    <row r="35" spans="1:20" ht="15" customHeight="1" x14ac:dyDescent="0.25">
      <c r="A35" s="4" t="s">
        <v>2489</v>
      </c>
      <c r="B35" s="2" t="s">
        <v>2487</v>
      </c>
      <c r="C35" s="2" t="s">
        <v>2488</v>
      </c>
      <c r="D35" s="5" t="s">
        <v>2490</v>
      </c>
      <c r="E35" s="4" t="s">
        <v>2491</v>
      </c>
      <c r="F35" s="6">
        <v>14277629</v>
      </c>
      <c r="G35" s="3">
        <v>14277629</v>
      </c>
      <c r="H35" s="7">
        <v>617844280743</v>
      </c>
      <c r="I35" s="8" t="s">
        <v>1204</v>
      </c>
      <c r="J35" s="4">
        <v>1</v>
      </c>
      <c r="K35" s="9">
        <v>39.99</v>
      </c>
      <c r="L35" s="9">
        <v>39.99</v>
      </c>
      <c r="M35" s="4" t="s">
        <v>2902</v>
      </c>
      <c r="N35" s="4" t="s">
        <v>2523</v>
      </c>
      <c r="O35" s="4">
        <v>20</v>
      </c>
      <c r="P35" s="4" t="s">
        <v>2564</v>
      </c>
      <c r="Q35" s="4" t="s">
        <v>2507</v>
      </c>
      <c r="R35" s="4" t="s">
        <v>2552</v>
      </c>
      <c r="S35" s="4" t="s">
        <v>2609</v>
      </c>
      <c r="T35" s="4" t="str">
        <f>HYPERLINK("http://slimages.macys.com/is/image/MCY/3696437 ")</f>
        <v xml:space="preserve">http://slimages.macys.com/is/image/MCY/3696437 </v>
      </c>
    </row>
    <row r="36" spans="1:20" ht="15" customHeight="1" x14ac:dyDescent="0.25">
      <c r="A36" s="4" t="s">
        <v>2489</v>
      </c>
      <c r="B36" s="2" t="s">
        <v>2487</v>
      </c>
      <c r="C36" s="2" t="s">
        <v>2488</v>
      </c>
      <c r="D36" s="5" t="s">
        <v>2490</v>
      </c>
      <c r="E36" s="4" t="s">
        <v>2491</v>
      </c>
      <c r="F36" s="6">
        <v>14277629</v>
      </c>
      <c r="G36" s="3">
        <v>14277629</v>
      </c>
      <c r="H36" s="7">
        <v>726108385237</v>
      </c>
      <c r="I36" s="8" t="s">
        <v>3243</v>
      </c>
      <c r="J36" s="4">
        <v>1</v>
      </c>
      <c r="K36" s="9">
        <v>75</v>
      </c>
      <c r="L36" s="9">
        <v>75</v>
      </c>
      <c r="M36" s="4">
        <v>726108385237</v>
      </c>
      <c r="N36" s="4" t="s">
        <v>2514</v>
      </c>
      <c r="O36" s="4" t="s">
        <v>2669</v>
      </c>
      <c r="P36" s="4" t="s">
        <v>2550</v>
      </c>
      <c r="Q36" s="4" t="s">
        <v>2706</v>
      </c>
      <c r="R36" s="4"/>
      <c r="S36" s="4"/>
      <c r="T36" s="4"/>
    </row>
    <row r="37" spans="1:20" ht="15" customHeight="1" x14ac:dyDescent="0.25">
      <c r="A37" s="4" t="s">
        <v>2489</v>
      </c>
      <c r="B37" s="2" t="s">
        <v>2487</v>
      </c>
      <c r="C37" s="2" t="s">
        <v>2488</v>
      </c>
      <c r="D37" s="5" t="s">
        <v>2490</v>
      </c>
      <c r="E37" s="4" t="s">
        <v>2491</v>
      </c>
      <c r="F37" s="6">
        <v>14277629</v>
      </c>
      <c r="G37" s="3">
        <v>14277629</v>
      </c>
      <c r="H37" s="7">
        <v>733004542831</v>
      </c>
      <c r="I37" s="8" t="s">
        <v>1205</v>
      </c>
      <c r="J37" s="4">
        <v>1</v>
      </c>
      <c r="K37" s="9">
        <v>40.99</v>
      </c>
      <c r="L37" s="9">
        <v>40.99</v>
      </c>
      <c r="M37" s="4" t="s">
        <v>2047</v>
      </c>
      <c r="N37" s="4" t="s">
        <v>2731</v>
      </c>
      <c r="O37" s="4" t="s">
        <v>2519</v>
      </c>
      <c r="P37" s="4" t="s">
        <v>2543</v>
      </c>
      <c r="Q37" s="4" t="s">
        <v>2528</v>
      </c>
      <c r="R37" s="4"/>
      <c r="S37" s="4"/>
      <c r="T37" s="4" t="str">
        <f>HYPERLINK("http://slimages.macys.com/is/image/MCY/20158262 ")</f>
        <v xml:space="preserve">http://slimages.macys.com/is/image/MCY/20158262 </v>
      </c>
    </row>
    <row r="38" spans="1:20" ht="15" customHeight="1" x14ac:dyDescent="0.25">
      <c r="A38" s="4" t="s">
        <v>2489</v>
      </c>
      <c r="B38" s="2" t="s">
        <v>2487</v>
      </c>
      <c r="C38" s="2" t="s">
        <v>2488</v>
      </c>
      <c r="D38" s="5" t="s">
        <v>2490</v>
      </c>
      <c r="E38" s="4" t="s">
        <v>2491</v>
      </c>
      <c r="F38" s="6">
        <v>14277629</v>
      </c>
      <c r="G38" s="3">
        <v>14277629</v>
      </c>
      <c r="H38" s="7">
        <v>762120084659</v>
      </c>
      <c r="I38" s="8" t="s">
        <v>1206</v>
      </c>
      <c r="J38" s="4">
        <v>1</v>
      </c>
      <c r="K38" s="9">
        <v>7.99</v>
      </c>
      <c r="L38" s="9">
        <v>7.99</v>
      </c>
      <c r="M38" s="4" t="s">
        <v>3183</v>
      </c>
      <c r="N38" s="4" t="s">
        <v>2565</v>
      </c>
      <c r="O38" s="4">
        <v>5</v>
      </c>
      <c r="P38" s="4" t="s">
        <v>2602</v>
      </c>
      <c r="Q38" s="4" t="s">
        <v>2528</v>
      </c>
      <c r="R38" s="4"/>
      <c r="S38" s="4"/>
      <c r="T38" s="4" t="str">
        <f>HYPERLINK("http://slimages.macys.com/is/image/MCY/1088549 ")</f>
        <v xml:space="preserve">http://slimages.macys.com/is/image/MCY/1088549 </v>
      </c>
    </row>
    <row r="39" spans="1:20" ht="15" customHeight="1" x14ac:dyDescent="0.25">
      <c r="A39" s="4" t="s">
        <v>2489</v>
      </c>
      <c r="B39" s="2" t="s">
        <v>2487</v>
      </c>
      <c r="C39" s="2" t="s">
        <v>2488</v>
      </c>
      <c r="D39" s="5" t="s">
        <v>2490</v>
      </c>
      <c r="E39" s="4" t="s">
        <v>2491</v>
      </c>
      <c r="F39" s="6">
        <v>14277629</v>
      </c>
      <c r="G39" s="3">
        <v>14277629</v>
      </c>
      <c r="H39" s="7">
        <v>195883922768</v>
      </c>
      <c r="I39" s="8" t="s">
        <v>1207</v>
      </c>
      <c r="J39" s="4">
        <v>1</v>
      </c>
      <c r="K39" s="9">
        <v>8.31</v>
      </c>
      <c r="L39" s="9">
        <v>8.31</v>
      </c>
      <c r="M39" s="4" t="s">
        <v>1208</v>
      </c>
      <c r="N39" s="4" t="s">
        <v>2501</v>
      </c>
      <c r="O39" s="4">
        <v>4</v>
      </c>
      <c r="P39" s="4" t="s">
        <v>2506</v>
      </c>
      <c r="Q39" s="4" t="s">
        <v>2527</v>
      </c>
      <c r="R39" s="4"/>
      <c r="S39" s="4"/>
      <c r="T39" s="4" t="str">
        <f>HYPERLINK("http://slimages.macys.com/is/image/MCY/20876641 ")</f>
        <v xml:space="preserve">http://slimages.macys.com/is/image/MCY/20876641 </v>
      </c>
    </row>
    <row r="40" spans="1:20" ht="15" customHeight="1" x14ac:dyDescent="0.25">
      <c r="A40" s="4" t="s">
        <v>2489</v>
      </c>
      <c r="B40" s="2" t="s">
        <v>2487</v>
      </c>
      <c r="C40" s="2" t="s">
        <v>2488</v>
      </c>
      <c r="D40" s="5" t="s">
        <v>2490</v>
      </c>
      <c r="E40" s="4" t="s">
        <v>2491</v>
      </c>
      <c r="F40" s="6">
        <v>14277629</v>
      </c>
      <c r="G40" s="3">
        <v>14277629</v>
      </c>
      <c r="H40" s="7">
        <v>733004752063</v>
      </c>
      <c r="I40" s="8" t="s">
        <v>1209</v>
      </c>
      <c r="J40" s="4">
        <v>1</v>
      </c>
      <c r="K40" s="9">
        <v>13.99</v>
      </c>
      <c r="L40" s="9">
        <v>13.99</v>
      </c>
      <c r="M40" s="4" t="s">
        <v>1796</v>
      </c>
      <c r="N40" s="4" t="s">
        <v>2548</v>
      </c>
      <c r="O40" s="4" t="s">
        <v>2555</v>
      </c>
      <c r="P40" s="4" t="s">
        <v>2543</v>
      </c>
      <c r="Q40" s="4" t="s">
        <v>2528</v>
      </c>
      <c r="R40" s="4"/>
      <c r="S40" s="4"/>
      <c r="T40" s="4" t="str">
        <f>HYPERLINK("http://slimages.macys.com/is/image/MCY/20440815 ")</f>
        <v xml:space="preserve">http://slimages.macys.com/is/image/MCY/20440815 </v>
      </c>
    </row>
    <row r="41" spans="1:20" ht="15" customHeight="1" x14ac:dyDescent="0.25">
      <c r="A41" s="4" t="s">
        <v>2489</v>
      </c>
      <c r="B41" s="2" t="s">
        <v>2487</v>
      </c>
      <c r="C41" s="2" t="s">
        <v>2488</v>
      </c>
      <c r="D41" s="5" t="s">
        <v>2490</v>
      </c>
      <c r="E41" s="4" t="s">
        <v>2491</v>
      </c>
      <c r="F41" s="6">
        <v>14277629</v>
      </c>
      <c r="G41" s="3">
        <v>14277629</v>
      </c>
      <c r="H41" s="7">
        <v>733004752124</v>
      </c>
      <c r="I41" s="8" t="s">
        <v>1210</v>
      </c>
      <c r="J41" s="4">
        <v>1</v>
      </c>
      <c r="K41" s="9">
        <v>13.99</v>
      </c>
      <c r="L41" s="9">
        <v>13.99</v>
      </c>
      <c r="M41" s="4" t="s">
        <v>1211</v>
      </c>
      <c r="N41" s="4" t="s">
        <v>2567</v>
      </c>
      <c r="O41" s="4" t="s">
        <v>2671</v>
      </c>
      <c r="P41" s="4" t="s">
        <v>2543</v>
      </c>
      <c r="Q41" s="4" t="s">
        <v>2528</v>
      </c>
      <c r="R41" s="4"/>
      <c r="S41" s="4"/>
      <c r="T41" s="4" t="str">
        <f>HYPERLINK("http://slimages.macys.com/is/image/MCY/20440817 ")</f>
        <v xml:space="preserve">http://slimages.macys.com/is/image/MCY/20440817 </v>
      </c>
    </row>
    <row r="42" spans="1:20" ht="15" customHeight="1" x14ac:dyDescent="0.25">
      <c r="A42" s="4" t="s">
        <v>2489</v>
      </c>
      <c r="B42" s="2" t="s">
        <v>2487</v>
      </c>
      <c r="C42" s="2" t="s">
        <v>2488</v>
      </c>
      <c r="D42" s="5" t="s">
        <v>2490</v>
      </c>
      <c r="E42" s="4" t="s">
        <v>2491</v>
      </c>
      <c r="F42" s="6">
        <v>14277629</v>
      </c>
      <c r="G42" s="3">
        <v>14277629</v>
      </c>
      <c r="H42" s="7">
        <v>733003705916</v>
      </c>
      <c r="I42" s="8" t="s">
        <v>1212</v>
      </c>
      <c r="J42" s="4">
        <v>1</v>
      </c>
      <c r="K42" s="9">
        <v>22.99</v>
      </c>
      <c r="L42" s="9">
        <v>22.99</v>
      </c>
      <c r="M42" s="4" t="s">
        <v>2850</v>
      </c>
      <c r="N42" s="4" t="s">
        <v>2514</v>
      </c>
      <c r="O42" s="4">
        <v>5</v>
      </c>
      <c r="P42" s="4" t="s">
        <v>2602</v>
      </c>
      <c r="Q42" s="4" t="s">
        <v>2528</v>
      </c>
      <c r="R42" s="4"/>
      <c r="S42" s="4"/>
      <c r="T42" s="4" t="str">
        <f>HYPERLINK("http://slimages.macys.com/is/image/MCY/19632121 ")</f>
        <v xml:space="preserve">http://slimages.macys.com/is/image/MCY/19632121 </v>
      </c>
    </row>
    <row r="43" spans="1:20" ht="15" customHeight="1" x14ac:dyDescent="0.25">
      <c r="A43" s="4" t="s">
        <v>2489</v>
      </c>
      <c r="B43" s="2" t="s">
        <v>2487</v>
      </c>
      <c r="C43" s="2" t="s">
        <v>2488</v>
      </c>
      <c r="D43" s="5" t="s">
        <v>2490</v>
      </c>
      <c r="E43" s="4" t="s">
        <v>2491</v>
      </c>
      <c r="F43" s="6">
        <v>14277629</v>
      </c>
      <c r="G43" s="3">
        <v>14277629</v>
      </c>
      <c r="H43" s="7">
        <v>733004780707</v>
      </c>
      <c r="I43" s="8" t="s">
        <v>3214</v>
      </c>
      <c r="J43" s="4">
        <v>1</v>
      </c>
      <c r="K43" s="9">
        <v>11.99</v>
      </c>
      <c r="L43" s="9">
        <v>11.99</v>
      </c>
      <c r="M43" s="4" t="s">
        <v>3083</v>
      </c>
      <c r="N43" s="4" t="s">
        <v>2638</v>
      </c>
      <c r="O43" s="4" t="s">
        <v>2629</v>
      </c>
      <c r="P43" s="4" t="s">
        <v>2602</v>
      </c>
      <c r="Q43" s="4" t="s">
        <v>2528</v>
      </c>
      <c r="R43" s="4"/>
      <c r="S43" s="4"/>
      <c r="T43" s="4" t="str">
        <f>HYPERLINK("http://slimages.macys.com/is/image/MCY/20450174 ")</f>
        <v xml:space="preserve">http://slimages.macys.com/is/image/MCY/20450174 </v>
      </c>
    </row>
    <row r="44" spans="1:20" ht="15" customHeight="1" x14ac:dyDescent="0.25">
      <c r="A44" s="4" t="s">
        <v>2489</v>
      </c>
      <c r="B44" s="2" t="s">
        <v>2487</v>
      </c>
      <c r="C44" s="2" t="s">
        <v>2488</v>
      </c>
      <c r="D44" s="5" t="s">
        <v>2490</v>
      </c>
      <c r="E44" s="4" t="s">
        <v>2491</v>
      </c>
      <c r="F44" s="6">
        <v>14277629</v>
      </c>
      <c r="G44" s="3">
        <v>14277629</v>
      </c>
      <c r="H44" s="7">
        <v>677838668926</v>
      </c>
      <c r="I44" s="8" t="s">
        <v>1213</v>
      </c>
      <c r="J44" s="4">
        <v>1</v>
      </c>
      <c r="K44" s="9">
        <v>56.25</v>
      </c>
      <c r="L44" s="9">
        <v>56.25</v>
      </c>
      <c r="M44" s="4" t="s">
        <v>2019</v>
      </c>
      <c r="N44" s="4" t="s">
        <v>2501</v>
      </c>
      <c r="O44" s="4" t="s">
        <v>2705</v>
      </c>
      <c r="P44" s="4" t="s">
        <v>2619</v>
      </c>
      <c r="Q44" s="4" t="s">
        <v>2733</v>
      </c>
      <c r="R44" s="4"/>
      <c r="S44" s="4"/>
      <c r="T44" s="4" t="str">
        <f>HYPERLINK("http://slimages.macys.com/is/image/MCY/20047839 ")</f>
        <v xml:space="preserve">http://slimages.macys.com/is/image/MCY/20047839 </v>
      </c>
    </row>
    <row r="45" spans="1:20" ht="15" customHeight="1" x14ac:dyDescent="0.25">
      <c r="A45" s="4" t="s">
        <v>2489</v>
      </c>
      <c r="B45" s="2" t="s">
        <v>2487</v>
      </c>
      <c r="C45" s="2" t="s">
        <v>2488</v>
      </c>
      <c r="D45" s="5" t="s">
        <v>2490</v>
      </c>
      <c r="E45" s="4" t="s">
        <v>2491</v>
      </c>
      <c r="F45" s="6">
        <v>14277629</v>
      </c>
      <c r="G45" s="3">
        <v>14277629</v>
      </c>
      <c r="H45" s="7">
        <v>733004883460</v>
      </c>
      <c r="I45" s="8" t="s">
        <v>1214</v>
      </c>
      <c r="J45" s="4">
        <v>1</v>
      </c>
      <c r="K45" s="9">
        <v>6.99</v>
      </c>
      <c r="L45" s="9">
        <v>6.99</v>
      </c>
      <c r="M45" s="4" t="s">
        <v>1971</v>
      </c>
      <c r="N45" s="4" t="s">
        <v>2501</v>
      </c>
      <c r="O45" s="4" t="s">
        <v>2607</v>
      </c>
      <c r="P45" s="4" t="s">
        <v>2503</v>
      </c>
      <c r="Q45" s="4" t="s">
        <v>2504</v>
      </c>
      <c r="R45" s="4"/>
      <c r="S45" s="4"/>
      <c r="T45" s="4" t="str">
        <f>HYPERLINK("http://slimages.macys.com/is/image/MCY/20143215 ")</f>
        <v xml:space="preserve">http://slimages.macys.com/is/image/MCY/20143215 </v>
      </c>
    </row>
    <row r="46" spans="1:20" ht="15" customHeight="1" x14ac:dyDescent="0.25">
      <c r="A46" s="4" t="s">
        <v>2489</v>
      </c>
      <c r="B46" s="2" t="s">
        <v>2487</v>
      </c>
      <c r="C46" s="2" t="s">
        <v>2488</v>
      </c>
      <c r="D46" s="5" t="s">
        <v>2490</v>
      </c>
      <c r="E46" s="4" t="s">
        <v>2491</v>
      </c>
      <c r="F46" s="6">
        <v>14277629</v>
      </c>
      <c r="G46" s="3">
        <v>14277629</v>
      </c>
      <c r="H46" s="7">
        <v>733004745805</v>
      </c>
      <c r="I46" s="8" t="s">
        <v>1808</v>
      </c>
      <c r="J46" s="4">
        <v>1</v>
      </c>
      <c r="K46" s="9">
        <v>6.99</v>
      </c>
      <c r="L46" s="9">
        <v>6.99</v>
      </c>
      <c r="M46" s="4" t="s">
        <v>2852</v>
      </c>
      <c r="N46" s="4" t="s">
        <v>2565</v>
      </c>
      <c r="O46" s="4" t="s">
        <v>2493</v>
      </c>
      <c r="P46" s="4" t="s">
        <v>2503</v>
      </c>
      <c r="Q46" s="4" t="s">
        <v>2504</v>
      </c>
      <c r="R46" s="4"/>
      <c r="S46" s="4"/>
      <c r="T46" s="4" t="str">
        <f>HYPERLINK("http://slimages.macys.com/is/image/MCY/19977364 ")</f>
        <v xml:space="preserve">http://slimages.macys.com/is/image/MCY/19977364 </v>
      </c>
    </row>
    <row r="47" spans="1:20" ht="15" customHeight="1" x14ac:dyDescent="0.25">
      <c r="A47" s="4" t="s">
        <v>2489</v>
      </c>
      <c r="B47" s="2" t="s">
        <v>2487</v>
      </c>
      <c r="C47" s="2" t="s">
        <v>2488</v>
      </c>
      <c r="D47" s="5" t="s">
        <v>2490</v>
      </c>
      <c r="E47" s="4" t="s">
        <v>2491</v>
      </c>
      <c r="F47" s="6">
        <v>14277629</v>
      </c>
      <c r="G47" s="3">
        <v>14277629</v>
      </c>
      <c r="H47" s="7">
        <v>733004722714</v>
      </c>
      <c r="I47" s="8" t="s">
        <v>2044</v>
      </c>
      <c r="J47" s="4">
        <v>1</v>
      </c>
      <c r="K47" s="9">
        <v>25.99</v>
      </c>
      <c r="L47" s="9">
        <v>25.99</v>
      </c>
      <c r="M47" s="4" t="s">
        <v>3193</v>
      </c>
      <c r="N47" s="4" t="s">
        <v>2530</v>
      </c>
      <c r="O47" s="4" t="s">
        <v>2566</v>
      </c>
      <c r="P47" s="4" t="s">
        <v>2503</v>
      </c>
      <c r="Q47" s="4" t="s">
        <v>2504</v>
      </c>
      <c r="R47" s="4"/>
      <c r="S47" s="4"/>
      <c r="T47" s="4" t="str">
        <f>HYPERLINK("http://slimages.macys.com/is/image/MCY/19977902 ")</f>
        <v xml:space="preserve">http://slimages.macys.com/is/image/MCY/19977902 </v>
      </c>
    </row>
    <row r="48" spans="1:20" ht="15" customHeight="1" x14ac:dyDescent="0.25">
      <c r="A48" s="4" t="s">
        <v>2489</v>
      </c>
      <c r="B48" s="2" t="s">
        <v>2487</v>
      </c>
      <c r="C48" s="2" t="s">
        <v>2488</v>
      </c>
      <c r="D48" s="5" t="s">
        <v>2490</v>
      </c>
      <c r="E48" s="4" t="s">
        <v>2491</v>
      </c>
      <c r="F48" s="6">
        <v>14277629</v>
      </c>
      <c r="G48" s="3">
        <v>14277629</v>
      </c>
      <c r="H48" s="7">
        <v>733004748868</v>
      </c>
      <c r="I48" s="8" t="s">
        <v>1803</v>
      </c>
      <c r="J48" s="4">
        <v>1</v>
      </c>
      <c r="K48" s="9">
        <v>7.99</v>
      </c>
      <c r="L48" s="9">
        <v>7.99</v>
      </c>
      <c r="M48" s="4" t="s">
        <v>1804</v>
      </c>
      <c r="N48" s="4" t="s">
        <v>2638</v>
      </c>
      <c r="O48" s="4" t="s">
        <v>2628</v>
      </c>
      <c r="P48" s="4" t="s">
        <v>2503</v>
      </c>
      <c r="Q48" s="4" t="s">
        <v>2504</v>
      </c>
      <c r="R48" s="4"/>
      <c r="S48" s="4"/>
      <c r="T48" s="4" t="str">
        <f>HYPERLINK("http://slimages.macys.com/is/image/MCY/19977828 ")</f>
        <v xml:space="preserve">http://slimages.macys.com/is/image/MCY/19977828 </v>
      </c>
    </row>
    <row r="49" spans="1:20" ht="15" customHeight="1" x14ac:dyDescent="0.25">
      <c r="A49" s="4" t="s">
        <v>2489</v>
      </c>
      <c r="B49" s="2" t="s">
        <v>2487</v>
      </c>
      <c r="C49" s="2" t="s">
        <v>2488</v>
      </c>
      <c r="D49" s="5" t="s">
        <v>2490</v>
      </c>
      <c r="E49" s="4" t="s">
        <v>2491</v>
      </c>
      <c r="F49" s="6">
        <v>14277629</v>
      </c>
      <c r="G49" s="3">
        <v>14277629</v>
      </c>
      <c r="H49" s="7">
        <v>733003579364</v>
      </c>
      <c r="I49" s="8" t="s">
        <v>3153</v>
      </c>
      <c r="J49" s="4">
        <v>1</v>
      </c>
      <c r="K49" s="9">
        <v>13.99</v>
      </c>
      <c r="L49" s="9">
        <v>13.99</v>
      </c>
      <c r="M49" s="4" t="s">
        <v>3154</v>
      </c>
      <c r="N49" s="4" t="s">
        <v>2565</v>
      </c>
      <c r="O49" s="4"/>
      <c r="P49" s="4" t="s">
        <v>2503</v>
      </c>
      <c r="Q49" s="4" t="s">
        <v>2504</v>
      </c>
      <c r="R49" s="4"/>
      <c r="S49" s="4"/>
      <c r="T49" s="4" t="str">
        <f>HYPERLINK("http://slimages.macys.com/is/image/MCY/19589109 ")</f>
        <v xml:space="preserve">http://slimages.macys.com/is/image/MCY/19589109 </v>
      </c>
    </row>
    <row r="50" spans="1:20" ht="15" customHeight="1" x14ac:dyDescent="0.25">
      <c r="A50" s="4" t="s">
        <v>2489</v>
      </c>
      <c r="B50" s="2" t="s">
        <v>2487</v>
      </c>
      <c r="C50" s="2" t="s">
        <v>2488</v>
      </c>
      <c r="D50" s="5" t="s">
        <v>2490</v>
      </c>
      <c r="E50" s="4" t="s">
        <v>2491</v>
      </c>
      <c r="F50" s="6">
        <v>14277629</v>
      </c>
      <c r="G50" s="3">
        <v>14277629</v>
      </c>
      <c r="H50" s="7">
        <v>193666794113</v>
      </c>
      <c r="I50" s="8" t="s">
        <v>1215</v>
      </c>
      <c r="J50" s="4">
        <v>2</v>
      </c>
      <c r="K50" s="9">
        <v>11.99</v>
      </c>
      <c r="L50" s="9">
        <v>23.98</v>
      </c>
      <c r="M50" s="4">
        <v>7122</v>
      </c>
      <c r="N50" s="4" t="s">
        <v>2665</v>
      </c>
      <c r="O50" s="4" t="s">
        <v>2555</v>
      </c>
      <c r="P50" s="4" t="s">
        <v>2666</v>
      </c>
      <c r="Q50" s="4" t="s">
        <v>2775</v>
      </c>
      <c r="R50" s="4"/>
      <c r="S50" s="4"/>
      <c r="T50" s="4"/>
    </row>
    <row r="51" spans="1:20" ht="15" customHeight="1" x14ac:dyDescent="0.25">
      <c r="A51" s="4" t="s">
        <v>2489</v>
      </c>
      <c r="B51" s="2" t="s">
        <v>2487</v>
      </c>
      <c r="C51" s="2" t="s">
        <v>2488</v>
      </c>
      <c r="D51" s="5" t="s">
        <v>2490</v>
      </c>
      <c r="E51" s="4" t="s">
        <v>2491</v>
      </c>
      <c r="F51" s="6">
        <v>14277629</v>
      </c>
      <c r="G51" s="3">
        <v>14277629</v>
      </c>
      <c r="H51" s="7">
        <v>193666757910</v>
      </c>
      <c r="I51" s="8" t="s">
        <v>1216</v>
      </c>
      <c r="J51" s="4">
        <v>1</v>
      </c>
      <c r="K51" s="9">
        <v>14.99</v>
      </c>
      <c r="L51" s="9">
        <v>14.99</v>
      </c>
      <c r="M51" s="4">
        <v>4489</v>
      </c>
      <c r="N51" s="4"/>
      <c r="O51" s="4" t="s">
        <v>2498</v>
      </c>
      <c r="P51" s="4" t="s">
        <v>2666</v>
      </c>
      <c r="Q51" s="4" t="s">
        <v>2667</v>
      </c>
      <c r="R51" s="4"/>
      <c r="S51" s="4"/>
      <c r="T51" s="4" t="str">
        <f>HYPERLINK("http://slimages.macys.com/is/image/MCY/19348139 ")</f>
        <v xml:space="preserve">http://slimages.macys.com/is/image/MCY/19348139 </v>
      </c>
    </row>
    <row r="52" spans="1:20" ht="15" customHeight="1" x14ac:dyDescent="0.25">
      <c r="A52" s="4" t="s">
        <v>2489</v>
      </c>
      <c r="B52" s="2" t="s">
        <v>2487</v>
      </c>
      <c r="C52" s="2" t="s">
        <v>2488</v>
      </c>
      <c r="D52" s="5" t="s">
        <v>2490</v>
      </c>
      <c r="E52" s="4" t="s">
        <v>2491</v>
      </c>
      <c r="F52" s="6">
        <v>14277629</v>
      </c>
      <c r="G52" s="3">
        <v>14277629</v>
      </c>
      <c r="H52" s="7">
        <v>46094700457</v>
      </c>
      <c r="I52" s="8" t="s">
        <v>1217</v>
      </c>
      <c r="J52" s="4">
        <v>1</v>
      </c>
      <c r="K52" s="9">
        <v>4.99</v>
      </c>
      <c r="L52" s="9">
        <v>4.99</v>
      </c>
      <c r="M52" s="4" t="s">
        <v>3329</v>
      </c>
      <c r="N52" s="4" t="s">
        <v>2514</v>
      </c>
      <c r="O52" s="4" t="s">
        <v>2519</v>
      </c>
      <c r="P52" s="4" t="s">
        <v>2666</v>
      </c>
      <c r="Q52" s="4" t="s">
        <v>2667</v>
      </c>
      <c r="R52" s="4" t="s">
        <v>2552</v>
      </c>
      <c r="S52" s="4" t="s">
        <v>3157</v>
      </c>
      <c r="T52" s="4" t="str">
        <f>HYPERLINK("http://slimages.macys.com/is/image/MCY/9378229 ")</f>
        <v xml:space="preserve">http://slimages.macys.com/is/image/MCY/9378229 </v>
      </c>
    </row>
    <row r="53" spans="1:20" ht="15" customHeight="1" x14ac:dyDescent="0.25">
      <c r="A53" s="4" t="s">
        <v>2489</v>
      </c>
      <c r="B53" s="2" t="s">
        <v>2487</v>
      </c>
      <c r="C53" s="2" t="s">
        <v>2488</v>
      </c>
      <c r="D53" s="5" t="s">
        <v>2490</v>
      </c>
      <c r="E53" s="4" t="s">
        <v>2491</v>
      </c>
      <c r="F53" s="6">
        <v>14277629</v>
      </c>
      <c r="G53" s="3">
        <v>14277629</v>
      </c>
      <c r="H53" s="7">
        <v>193666924916</v>
      </c>
      <c r="I53" s="8" t="s">
        <v>3247</v>
      </c>
      <c r="J53" s="4">
        <v>2</v>
      </c>
      <c r="K53" s="9">
        <v>14.99</v>
      </c>
      <c r="L53" s="9">
        <v>29.98</v>
      </c>
      <c r="M53" s="4">
        <v>4489</v>
      </c>
      <c r="N53" s="4"/>
      <c r="O53" s="4" t="s">
        <v>2555</v>
      </c>
      <c r="P53" s="4" t="s">
        <v>2666</v>
      </c>
      <c r="Q53" s="4" t="s">
        <v>2667</v>
      </c>
      <c r="R53" s="4"/>
      <c r="S53" s="4"/>
      <c r="T53" s="4" t="str">
        <f>HYPERLINK("http://slimages.macys.com/is/image/MCY/19348139 ")</f>
        <v xml:space="preserve">http://slimages.macys.com/is/image/MCY/19348139 </v>
      </c>
    </row>
    <row r="54" spans="1:20" ht="15" customHeight="1" x14ac:dyDescent="0.25">
      <c r="A54" s="4" t="s">
        <v>2489</v>
      </c>
      <c r="B54" s="2" t="s">
        <v>2487</v>
      </c>
      <c r="C54" s="2" t="s">
        <v>2488</v>
      </c>
      <c r="D54" s="5" t="s">
        <v>2490</v>
      </c>
      <c r="E54" s="4" t="s">
        <v>2491</v>
      </c>
      <c r="F54" s="6">
        <v>14277629</v>
      </c>
      <c r="G54" s="3">
        <v>14277629</v>
      </c>
      <c r="H54" s="7">
        <v>193666722567</v>
      </c>
      <c r="I54" s="8" t="s">
        <v>1218</v>
      </c>
      <c r="J54" s="4">
        <v>1</v>
      </c>
      <c r="K54" s="9">
        <v>14.99</v>
      </c>
      <c r="L54" s="9">
        <v>14.99</v>
      </c>
      <c r="M54" s="4" t="s">
        <v>2996</v>
      </c>
      <c r="N54" s="4" t="s">
        <v>2548</v>
      </c>
      <c r="O54" s="4" t="s">
        <v>2498</v>
      </c>
      <c r="P54" s="4" t="s">
        <v>2666</v>
      </c>
      <c r="Q54" s="4" t="s">
        <v>2775</v>
      </c>
      <c r="R54" s="4"/>
      <c r="S54" s="4"/>
      <c r="T54" s="4" t="str">
        <f>HYPERLINK("http://slimages.macys.com/is/image/MCY/18619089 ")</f>
        <v xml:space="preserve">http://slimages.macys.com/is/image/MCY/18619089 </v>
      </c>
    </row>
    <row r="55" spans="1:20" ht="15" customHeight="1" x14ac:dyDescent="0.25">
      <c r="A55" s="4" t="s">
        <v>2489</v>
      </c>
      <c r="B55" s="2" t="s">
        <v>2487</v>
      </c>
      <c r="C55" s="2" t="s">
        <v>2488</v>
      </c>
      <c r="D55" s="5" t="s">
        <v>2490</v>
      </c>
      <c r="E55" s="4" t="s">
        <v>2491</v>
      </c>
      <c r="F55" s="6">
        <v>14277629</v>
      </c>
      <c r="G55" s="3">
        <v>14277629</v>
      </c>
      <c r="H55" s="7">
        <v>195883460628</v>
      </c>
      <c r="I55" s="8" t="s">
        <v>1219</v>
      </c>
      <c r="J55" s="4">
        <v>1</v>
      </c>
      <c r="K55" s="9">
        <v>10.99</v>
      </c>
      <c r="L55" s="9">
        <v>10.99</v>
      </c>
      <c r="M55" s="4" t="s">
        <v>1220</v>
      </c>
      <c r="N55" s="4" t="s">
        <v>2728</v>
      </c>
      <c r="O55" s="4" t="s">
        <v>2524</v>
      </c>
      <c r="P55" s="4" t="s">
        <v>2536</v>
      </c>
      <c r="Q55" s="4" t="s">
        <v>2944</v>
      </c>
      <c r="R55" s="4"/>
      <c r="S55" s="4"/>
      <c r="T55" s="4" t="str">
        <f>HYPERLINK("http://slimages.macys.com/is/image/MCY/20191103 ")</f>
        <v xml:space="preserve">http://slimages.macys.com/is/image/MCY/20191103 </v>
      </c>
    </row>
    <row r="56" spans="1:20" ht="15" customHeight="1" x14ac:dyDescent="0.25">
      <c r="A56" s="4" t="s">
        <v>2489</v>
      </c>
      <c r="B56" s="2" t="s">
        <v>2487</v>
      </c>
      <c r="C56" s="2" t="s">
        <v>2488</v>
      </c>
      <c r="D56" s="5" t="s">
        <v>2490</v>
      </c>
      <c r="E56" s="4" t="s">
        <v>2491</v>
      </c>
      <c r="F56" s="6">
        <v>14277629</v>
      </c>
      <c r="G56" s="3">
        <v>14277629</v>
      </c>
      <c r="H56" s="7">
        <v>193666517897</v>
      </c>
      <c r="I56" s="8" t="s">
        <v>1221</v>
      </c>
      <c r="J56" s="4">
        <v>2</v>
      </c>
      <c r="K56" s="9">
        <v>4.99</v>
      </c>
      <c r="L56" s="9">
        <v>9.98</v>
      </c>
      <c r="M56" s="4">
        <v>4114</v>
      </c>
      <c r="N56" s="4" t="s">
        <v>2762</v>
      </c>
      <c r="O56" s="4" t="s">
        <v>2519</v>
      </c>
      <c r="P56" s="4" t="s">
        <v>2666</v>
      </c>
      <c r="Q56" s="4" t="s">
        <v>2667</v>
      </c>
      <c r="R56" s="4" t="s">
        <v>2552</v>
      </c>
      <c r="S56" s="4" t="s">
        <v>3157</v>
      </c>
      <c r="T56" s="4" t="str">
        <f>HYPERLINK("http://slimages.macys.com/is/image/MCY/13050267 ")</f>
        <v xml:space="preserve">http://slimages.macys.com/is/image/MCY/13050267 </v>
      </c>
    </row>
    <row r="57" spans="1:20" ht="15" customHeight="1" x14ac:dyDescent="0.25">
      <c r="A57" s="4" t="s">
        <v>2489</v>
      </c>
      <c r="B57" s="2" t="s">
        <v>2487</v>
      </c>
      <c r="C57" s="2" t="s">
        <v>2488</v>
      </c>
      <c r="D57" s="5" t="s">
        <v>2490</v>
      </c>
      <c r="E57" s="4" t="s">
        <v>2491</v>
      </c>
      <c r="F57" s="6">
        <v>14277629</v>
      </c>
      <c r="G57" s="3">
        <v>14277629</v>
      </c>
      <c r="H57" s="7">
        <v>46094948712</v>
      </c>
      <c r="I57" s="8" t="s">
        <v>1222</v>
      </c>
      <c r="J57" s="4">
        <v>2</v>
      </c>
      <c r="K57" s="9">
        <v>11.99</v>
      </c>
      <c r="L57" s="9">
        <v>23.98</v>
      </c>
      <c r="M57" s="4" t="s">
        <v>3261</v>
      </c>
      <c r="N57" s="4" t="s">
        <v>2523</v>
      </c>
      <c r="O57" s="4" t="s">
        <v>2519</v>
      </c>
      <c r="P57" s="4" t="s">
        <v>2666</v>
      </c>
      <c r="Q57" s="4" t="s">
        <v>2667</v>
      </c>
      <c r="R57" s="4" t="s">
        <v>2552</v>
      </c>
      <c r="S57" s="4" t="s">
        <v>3157</v>
      </c>
      <c r="T57" s="4" t="str">
        <f>HYPERLINK("http://slimages.macys.com/is/image/MCY/13050192 ")</f>
        <v xml:space="preserve">http://slimages.macys.com/is/image/MCY/13050192 </v>
      </c>
    </row>
    <row r="58" spans="1:20" ht="15" customHeight="1" x14ac:dyDescent="0.25">
      <c r="A58" s="4" t="s">
        <v>2489</v>
      </c>
      <c r="B58" s="2" t="s">
        <v>2487</v>
      </c>
      <c r="C58" s="2" t="s">
        <v>2488</v>
      </c>
      <c r="D58" s="5" t="s">
        <v>2490</v>
      </c>
      <c r="E58" s="4" t="s">
        <v>2491</v>
      </c>
      <c r="F58" s="6">
        <v>14277629</v>
      </c>
      <c r="G58" s="3">
        <v>14277629</v>
      </c>
      <c r="H58" s="7">
        <v>193666517873</v>
      </c>
      <c r="I58" s="8" t="s">
        <v>3335</v>
      </c>
      <c r="J58" s="4">
        <v>1</v>
      </c>
      <c r="K58" s="9">
        <v>4.99</v>
      </c>
      <c r="L58" s="9">
        <v>4.99</v>
      </c>
      <c r="M58" s="4">
        <v>4114</v>
      </c>
      <c r="N58" s="4" t="s">
        <v>2762</v>
      </c>
      <c r="O58" s="4" t="s">
        <v>2498</v>
      </c>
      <c r="P58" s="4" t="s">
        <v>2666</v>
      </c>
      <c r="Q58" s="4" t="s">
        <v>2667</v>
      </c>
      <c r="R58" s="4" t="s">
        <v>2552</v>
      </c>
      <c r="S58" s="4" t="s">
        <v>3157</v>
      </c>
      <c r="T58" s="4" t="str">
        <f>HYPERLINK("http://slimages.macys.com/is/image/MCY/13050267 ")</f>
        <v xml:space="preserve">http://slimages.macys.com/is/image/MCY/13050267 </v>
      </c>
    </row>
    <row r="59" spans="1:20" ht="15" customHeight="1" x14ac:dyDescent="0.25">
      <c r="A59" s="4" t="s">
        <v>2489</v>
      </c>
      <c r="B59" s="2" t="s">
        <v>2487</v>
      </c>
      <c r="C59" s="2" t="s">
        <v>2488</v>
      </c>
      <c r="D59" s="5" t="s">
        <v>2490</v>
      </c>
      <c r="E59" s="4" t="s">
        <v>2491</v>
      </c>
      <c r="F59" s="6">
        <v>14277629</v>
      </c>
      <c r="G59" s="3">
        <v>14277629</v>
      </c>
      <c r="H59" s="7">
        <v>46094542545</v>
      </c>
      <c r="I59" s="8" t="s">
        <v>1223</v>
      </c>
      <c r="J59" s="4">
        <v>1</v>
      </c>
      <c r="K59" s="9">
        <v>9.99</v>
      </c>
      <c r="L59" s="9">
        <v>9.99</v>
      </c>
      <c r="M59" s="4" t="s">
        <v>3155</v>
      </c>
      <c r="N59" s="4" t="s">
        <v>2514</v>
      </c>
      <c r="O59" s="4" t="s">
        <v>2671</v>
      </c>
      <c r="P59" s="4" t="s">
        <v>2666</v>
      </c>
      <c r="Q59" s="4" t="s">
        <v>3156</v>
      </c>
      <c r="R59" s="4" t="s">
        <v>2552</v>
      </c>
      <c r="S59" s="4" t="s">
        <v>3157</v>
      </c>
      <c r="T59" s="4" t="str">
        <f>HYPERLINK("http://slimages.macys.com/is/image/MCY/2568982 ")</f>
        <v xml:space="preserve">http://slimages.macys.com/is/image/MCY/2568982 </v>
      </c>
    </row>
    <row r="60" spans="1:20" ht="15" customHeight="1" x14ac:dyDescent="0.25">
      <c r="A60" s="4" t="s">
        <v>2489</v>
      </c>
      <c r="B60" s="2" t="s">
        <v>2487</v>
      </c>
      <c r="C60" s="2" t="s">
        <v>2488</v>
      </c>
      <c r="D60" s="5" t="s">
        <v>2490</v>
      </c>
      <c r="E60" s="4" t="s">
        <v>2491</v>
      </c>
      <c r="F60" s="6">
        <v>14277629</v>
      </c>
      <c r="G60" s="3">
        <v>14277629</v>
      </c>
      <c r="H60" s="7">
        <v>762120162357</v>
      </c>
      <c r="I60" s="8" t="s">
        <v>1824</v>
      </c>
      <c r="J60" s="4">
        <v>1</v>
      </c>
      <c r="K60" s="9">
        <v>11.99</v>
      </c>
      <c r="L60" s="9">
        <v>11.99</v>
      </c>
      <c r="M60" s="4" t="s">
        <v>2631</v>
      </c>
      <c r="N60" s="4" t="s">
        <v>2632</v>
      </c>
      <c r="O60" s="4" t="s">
        <v>2650</v>
      </c>
      <c r="P60" s="4" t="s">
        <v>2602</v>
      </c>
      <c r="Q60" s="4" t="s">
        <v>2528</v>
      </c>
      <c r="R60" s="4"/>
      <c r="S60" s="4"/>
      <c r="T60" s="4" t="str">
        <f>HYPERLINK("http://slimages.macys.com/is/image/MCY/20819683 ")</f>
        <v xml:space="preserve">http://slimages.macys.com/is/image/MCY/20819683 </v>
      </c>
    </row>
    <row r="61" spans="1:20" ht="15" customHeight="1" x14ac:dyDescent="0.25">
      <c r="A61" s="4" t="s">
        <v>2489</v>
      </c>
      <c r="B61" s="2" t="s">
        <v>2487</v>
      </c>
      <c r="C61" s="2" t="s">
        <v>2488</v>
      </c>
      <c r="D61" s="5" t="s">
        <v>2490</v>
      </c>
      <c r="E61" s="4" t="s">
        <v>2491</v>
      </c>
      <c r="F61" s="6">
        <v>14277629</v>
      </c>
      <c r="G61" s="3">
        <v>14277629</v>
      </c>
      <c r="H61" s="7">
        <v>194476837748</v>
      </c>
      <c r="I61" s="8" t="s">
        <v>1224</v>
      </c>
      <c r="J61" s="4">
        <v>1</v>
      </c>
      <c r="K61" s="9">
        <v>45</v>
      </c>
      <c r="L61" s="9">
        <v>45</v>
      </c>
      <c r="M61" s="4" t="s">
        <v>1225</v>
      </c>
      <c r="N61" s="4" t="s">
        <v>2523</v>
      </c>
      <c r="O61" s="4">
        <v>22</v>
      </c>
      <c r="P61" s="4" t="s">
        <v>2725</v>
      </c>
      <c r="Q61" s="4" t="s">
        <v>2932</v>
      </c>
      <c r="R61" s="4"/>
      <c r="S61" s="4"/>
      <c r="T61" s="4" t="str">
        <f>HYPERLINK("http://slimages.macys.com/is/image/MCY/19012102 ")</f>
        <v xml:space="preserve">http://slimages.macys.com/is/image/MCY/19012102 </v>
      </c>
    </row>
    <row r="62" spans="1:20" ht="15" customHeight="1" x14ac:dyDescent="0.25">
      <c r="A62" s="4" t="s">
        <v>2489</v>
      </c>
      <c r="B62" s="2" t="s">
        <v>2487</v>
      </c>
      <c r="C62" s="2" t="s">
        <v>2488</v>
      </c>
      <c r="D62" s="5" t="s">
        <v>2490</v>
      </c>
      <c r="E62" s="4" t="s">
        <v>2491</v>
      </c>
      <c r="F62" s="6">
        <v>14277629</v>
      </c>
      <c r="G62" s="3">
        <v>14277629</v>
      </c>
      <c r="H62" s="7">
        <v>733003926670</v>
      </c>
      <c r="I62" s="8" t="s">
        <v>3225</v>
      </c>
      <c r="J62" s="4">
        <v>1</v>
      </c>
      <c r="K62" s="9">
        <v>6.99</v>
      </c>
      <c r="L62" s="9">
        <v>6.99</v>
      </c>
      <c r="M62" s="4" t="s">
        <v>2941</v>
      </c>
      <c r="N62" s="4" t="s">
        <v>2682</v>
      </c>
      <c r="O62" s="4" t="s">
        <v>2559</v>
      </c>
      <c r="P62" s="4" t="s">
        <v>2503</v>
      </c>
      <c r="Q62" s="4" t="s">
        <v>2504</v>
      </c>
      <c r="R62" s="4"/>
      <c r="S62" s="4"/>
      <c r="T62" s="4" t="str">
        <f>HYPERLINK("http://slimages.macys.com/is/image/MCY/19507809 ")</f>
        <v xml:space="preserve">http://slimages.macys.com/is/image/MCY/19507809 </v>
      </c>
    </row>
    <row r="63" spans="1:20" ht="15" customHeight="1" x14ac:dyDescent="0.25">
      <c r="A63" s="4" t="s">
        <v>2489</v>
      </c>
      <c r="B63" s="2" t="s">
        <v>2487</v>
      </c>
      <c r="C63" s="2" t="s">
        <v>2488</v>
      </c>
      <c r="D63" s="5" t="s">
        <v>2490</v>
      </c>
      <c r="E63" s="4" t="s">
        <v>2491</v>
      </c>
      <c r="F63" s="6">
        <v>14277629</v>
      </c>
      <c r="G63" s="3">
        <v>14277629</v>
      </c>
      <c r="H63" s="7">
        <v>733003926908</v>
      </c>
      <c r="I63" s="8" t="s">
        <v>1226</v>
      </c>
      <c r="J63" s="4">
        <v>2</v>
      </c>
      <c r="K63" s="9">
        <v>5.99</v>
      </c>
      <c r="L63" s="9">
        <v>11.98</v>
      </c>
      <c r="M63" s="4" t="s">
        <v>1227</v>
      </c>
      <c r="N63" s="4" t="s">
        <v>2682</v>
      </c>
      <c r="O63" s="4" t="s">
        <v>2493</v>
      </c>
      <c r="P63" s="4" t="s">
        <v>2503</v>
      </c>
      <c r="Q63" s="4" t="s">
        <v>2504</v>
      </c>
      <c r="R63" s="4"/>
      <c r="S63" s="4"/>
      <c r="T63" s="4" t="str">
        <f>HYPERLINK("http://slimages.macys.com/is/image/MCY/903950 ")</f>
        <v xml:space="preserve">http://slimages.macys.com/is/image/MCY/903950 </v>
      </c>
    </row>
    <row r="64" spans="1:20" ht="15" customHeight="1" x14ac:dyDescent="0.25">
      <c r="A64" s="4" t="s">
        <v>2489</v>
      </c>
      <c r="B64" s="2" t="s">
        <v>2487</v>
      </c>
      <c r="C64" s="2" t="s">
        <v>2488</v>
      </c>
      <c r="D64" s="5" t="s">
        <v>2490</v>
      </c>
      <c r="E64" s="4" t="s">
        <v>2491</v>
      </c>
      <c r="F64" s="6">
        <v>14277629</v>
      </c>
      <c r="G64" s="3">
        <v>14277629</v>
      </c>
      <c r="H64" s="7">
        <v>726108385664</v>
      </c>
      <c r="I64" s="8" t="s">
        <v>3133</v>
      </c>
      <c r="J64" s="4">
        <v>1</v>
      </c>
      <c r="K64" s="9">
        <v>75</v>
      </c>
      <c r="L64" s="9">
        <v>75</v>
      </c>
      <c r="M64" s="4">
        <v>726108385664</v>
      </c>
      <c r="N64" s="4"/>
      <c r="O64" s="4" t="s">
        <v>2669</v>
      </c>
      <c r="P64" s="4" t="s">
        <v>2550</v>
      </c>
      <c r="Q64" s="4" t="s">
        <v>2706</v>
      </c>
      <c r="R64" s="4"/>
      <c r="S64" s="4"/>
      <c r="T64" s="4"/>
    </row>
    <row r="65" spans="1:20" ht="15" customHeight="1" x14ac:dyDescent="0.25">
      <c r="A65" s="4" t="s">
        <v>2489</v>
      </c>
      <c r="B65" s="2" t="s">
        <v>2487</v>
      </c>
      <c r="C65" s="2" t="s">
        <v>2488</v>
      </c>
      <c r="D65" s="5" t="s">
        <v>2490</v>
      </c>
      <c r="E65" s="4" t="s">
        <v>2491</v>
      </c>
      <c r="F65" s="6">
        <v>14277629</v>
      </c>
      <c r="G65" s="3">
        <v>14277629</v>
      </c>
      <c r="H65" s="7">
        <v>193666924961</v>
      </c>
      <c r="I65" s="8" t="s">
        <v>3037</v>
      </c>
      <c r="J65" s="4">
        <v>1</v>
      </c>
      <c r="K65" s="9">
        <v>14.99</v>
      </c>
      <c r="L65" s="9">
        <v>14.99</v>
      </c>
      <c r="M65" s="4">
        <v>4489</v>
      </c>
      <c r="N65" s="4" t="s">
        <v>2514</v>
      </c>
      <c r="O65" s="4" t="s">
        <v>2519</v>
      </c>
      <c r="P65" s="4" t="s">
        <v>2666</v>
      </c>
      <c r="Q65" s="4" t="s">
        <v>2667</v>
      </c>
      <c r="R65" s="4"/>
      <c r="S65" s="4"/>
      <c r="T65" s="4" t="str">
        <f>HYPERLINK("http://slimages.macys.com/is/image/MCY/19348139 ")</f>
        <v xml:space="preserve">http://slimages.macys.com/is/image/MCY/19348139 </v>
      </c>
    </row>
    <row r="66" spans="1:20" ht="15" customHeight="1" x14ac:dyDescent="0.25">
      <c r="A66" s="4" t="s">
        <v>2489</v>
      </c>
      <c r="B66" s="2" t="s">
        <v>2487</v>
      </c>
      <c r="C66" s="2" t="s">
        <v>2488</v>
      </c>
      <c r="D66" s="5" t="s">
        <v>2490</v>
      </c>
      <c r="E66" s="4" t="s">
        <v>2491</v>
      </c>
      <c r="F66" s="6">
        <v>14277629</v>
      </c>
      <c r="G66" s="3">
        <v>14277629</v>
      </c>
      <c r="H66" s="7">
        <v>733003924294</v>
      </c>
      <c r="I66" s="8" t="s">
        <v>2934</v>
      </c>
      <c r="J66" s="4">
        <v>1</v>
      </c>
      <c r="K66" s="9">
        <v>6.99</v>
      </c>
      <c r="L66" s="9">
        <v>6.99</v>
      </c>
      <c r="M66" s="4" t="s">
        <v>2786</v>
      </c>
      <c r="N66" s="4" t="s">
        <v>2638</v>
      </c>
      <c r="O66" s="4" t="s">
        <v>2601</v>
      </c>
      <c r="P66" s="4" t="s">
        <v>2503</v>
      </c>
      <c r="Q66" s="4" t="s">
        <v>2504</v>
      </c>
      <c r="R66" s="4"/>
      <c r="S66" s="4"/>
      <c r="T66" s="4" t="str">
        <f>HYPERLINK("http://slimages.macys.com/is/image/MCY/19507928 ")</f>
        <v xml:space="preserve">http://slimages.macys.com/is/image/MCY/19507928 </v>
      </c>
    </row>
    <row r="67" spans="1:20" ht="15" customHeight="1" x14ac:dyDescent="0.25">
      <c r="A67" s="4" t="s">
        <v>2489</v>
      </c>
      <c r="B67" s="2" t="s">
        <v>2487</v>
      </c>
      <c r="C67" s="2" t="s">
        <v>2488</v>
      </c>
      <c r="D67" s="5" t="s">
        <v>2490</v>
      </c>
      <c r="E67" s="4" t="s">
        <v>2491</v>
      </c>
      <c r="F67" s="6">
        <v>14277629</v>
      </c>
      <c r="G67" s="3">
        <v>14277629</v>
      </c>
      <c r="H67" s="7">
        <v>733003926885</v>
      </c>
      <c r="I67" s="8" t="s">
        <v>1228</v>
      </c>
      <c r="J67" s="4">
        <v>2</v>
      </c>
      <c r="K67" s="9">
        <v>5.99</v>
      </c>
      <c r="L67" s="9">
        <v>11.98</v>
      </c>
      <c r="M67" s="4" t="s">
        <v>1227</v>
      </c>
      <c r="N67" s="4" t="s">
        <v>2682</v>
      </c>
      <c r="O67" s="4" t="s">
        <v>2601</v>
      </c>
      <c r="P67" s="4" t="s">
        <v>2503</v>
      </c>
      <c r="Q67" s="4" t="s">
        <v>2504</v>
      </c>
      <c r="R67" s="4"/>
      <c r="S67" s="4"/>
      <c r="T67" s="4" t="str">
        <f>HYPERLINK("http://slimages.macys.com/is/image/MCY/903950 ")</f>
        <v xml:space="preserve">http://slimages.macys.com/is/image/MCY/903950 </v>
      </c>
    </row>
    <row r="68" spans="1:20" ht="15" customHeight="1" x14ac:dyDescent="0.25">
      <c r="A68" s="4" t="s">
        <v>2489</v>
      </c>
      <c r="B68" s="2" t="s">
        <v>2487</v>
      </c>
      <c r="C68" s="2" t="s">
        <v>2488</v>
      </c>
      <c r="D68" s="5" t="s">
        <v>2490</v>
      </c>
      <c r="E68" s="4" t="s">
        <v>2491</v>
      </c>
      <c r="F68" s="6">
        <v>14277629</v>
      </c>
      <c r="G68" s="3">
        <v>14277629</v>
      </c>
      <c r="H68" s="7">
        <v>193188892830</v>
      </c>
      <c r="I68" s="8" t="s">
        <v>1229</v>
      </c>
      <c r="J68" s="4">
        <v>1</v>
      </c>
      <c r="K68" s="9">
        <v>26.99</v>
      </c>
      <c r="L68" s="9">
        <v>26.99</v>
      </c>
      <c r="M68" s="4" t="s">
        <v>2640</v>
      </c>
      <c r="N68" s="4" t="s">
        <v>2682</v>
      </c>
      <c r="O68" s="4"/>
      <c r="P68" s="4" t="s">
        <v>2550</v>
      </c>
      <c r="Q68" s="4" t="s">
        <v>2641</v>
      </c>
      <c r="R68" s="4"/>
      <c r="S68" s="4"/>
      <c r="T68" s="4" t="str">
        <f>HYPERLINK("http://slimages.macys.com/is/image/MCY/19575670 ")</f>
        <v xml:space="preserve">http://slimages.macys.com/is/image/MCY/19575670 </v>
      </c>
    </row>
    <row r="69" spans="1:20" ht="15" customHeight="1" x14ac:dyDescent="0.25">
      <c r="A69" s="4" t="s">
        <v>2489</v>
      </c>
      <c r="B69" s="2" t="s">
        <v>2487</v>
      </c>
      <c r="C69" s="2" t="s">
        <v>2488</v>
      </c>
      <c r="D69" s="5" t="s">
        <v>2490</v>
      </c>
      <c r="E69" s="4" t="s">
        <v>2491</v>
      </c>
      <c r="F69" s="6">
        <v>14277629</v>
      </c>
      <c r="G69" s="3">
        <v>14277629</v>
      </c>
      <c r="H69" s="7">
        <v>733003928827</v>
      </c>
      <c r="I69" s="8" t="s">
        <v>1230</v>
      </c>
      <c r="J69" s="4">
        <v>3</v>
      </c>
      <c r="K69" s="9">
        <v>7.99</v>
      </c>
      <c r="L69" s="9">
        <v>23.97</v>
      </c>
      <c r="M69" s="4" t="s">
        <v>3021</v>
      </c>
      <c r="N69" s="4" t="s">
        <v>2642</v>
      </c>
      <c r="O69" s="4" t="s">
        <v>2628</v>
      </c>
      <c r="P69" s="4" t="s">
        <v>2503</v>
      </c>
      <c r="Q69" s="4" t="s">
        <v>2504</v>
      </c>
      <c r="R69" s="4"/>
      <c r="S69" s="4"/>
      <c r="T69" s="4" t="str">
        <f>HYPERLINK("http://slimages.macys.com/is/image/MCY/19511431 ")</f>
        <v xml:space="preserve">http://slimages.macys.com/is/image/MCY/19511431 </v>
      </c>
    </row>
    <row r="70" spans="1:20" ht="15" customHeight="1" x14ac:dyDescent="0.25">
      <c r="A70" s="4" t="s">
        <v>2489</v>
      </c>
      <c r="B70" s="2" t="s">
        <v>2487</v>
      </c>
      <c r="C70" s="2" t="s">
        <v>2488</v>
      </c>
      <c r="D70" s="5" t="s">
        <v>2490</v>
      </c>
      <c r="E70" s="4" t="s">
        <v>2491</v>
      </c>
      <c r="F70" s="6">
        <v>14277629</v>
      </c>
      <c r="G70" s="3">
        <v>14277629</v>
      </c>
      <c r="H70" s="7">
        <v>733003928803</v>
      </c>
      <c r="I70" s="8" t="s">
        <v>1231</v>
      </c>
      <c r="J70" s="4">
        <v>2</v>
      </c>
      <c r="K70" s="9">
        <v>7.99</v>
      </c>
      <c r="L70" s="9">
        <v>15.98</v>
      </c>
      <c r="M70" s="4" t="s">
        <v>3021</v>
      </c>
      <c r="N70" s="4" t="s">
        <v>2642</v>
      </c>
      <c r="O70" s="4" t="s">
        <v>2650</v>
      </c>
      <c r="P70" s="4" t="s">
        <v>2503</v>
      </c>
      <c r="Q70" s="4" t="s">
        <v>2504</v>
      </c>
      <c r="R70" s="4"/>
      <c r="S70" s="4"/>
      <c r="T70" s="4" t="str">
        <f>HYPERLINK("http://slimages.macys.com/is/image/MCY/19511431 ")</f>
        <v xml:space="preserve">http://slimages.macys.com/is/image/MCY/19511431 </v>
      </c>
    </row>
    <row r="71" spans="1:20" ht="15" customHeight="1" x14ac:dyDescent="0.25">
      <c r="A71" s="4" t="s">
        <v>2489</v>
      </c>
      <c r="B71" s="2" t="s">
        <v>2487</v>
      </c>
      <c r="C71" s="2" t="s">
        <v>2488</v>
      </c>
      <c r="D71" s="5" t="s">
        <v>2490</v>
      </c>
      <c r="E71" s="4" t="s">
        <v>2491</v>
      </c>
      <c r="F71" s="6">
        <v>14277629</v>
      </c>
      <c r="G71" s="3">
        <v>14277629</v>
      </c>
      <c r="H71" s="7">
        <v>733004779244</v>
      </c>
      <c r="I71" s="8" t="s">
        <v>1232</v>
      </c>
      <c r="J71" s="4">
        <v>1</v>
      </c>
      <c r="K71" s="9">
        <v>7.99</v>
      </c>
      <c r="L71" s="9">
        <v>7.99</v>
      </c>
      <c r="M71" s="4" t="s">
        <v>2719</v>
      </c>
      <c r="N71" s="4" t="s">
        <v>2565</v>
      </c>
      <c r="O71" s="4" t="s">
        <v>2653</v>
      </c>
      <c r="P71" s="4" t="s">
        <v>2602</v>
      </c>
      <c r="Q71" s="4" t="s">
        <v>2528</v>
      </c>
      <c r="R71" s="4"/>
      <c r="S71" s="4"/>
      <c r="T71" s="4" t="str">
        <f>HYPERLINK("http://slimages.macys.com/is/image/MCY/1106903 ")</f>
        <v xml:space="preserve">http://slimages.macys.com/is/image/MCY/1106903 </v>
      </c>
    </row>
    <row r="72" spans="1:20" ht="15" customHeight="1" x14ac:dyDescent="0.25">
      <c r="A72" s="4" t="s">
        <v>2489</v>
      </c>
      <c r="B72" s="2" t="s">
        <v>2487</v>
      </c>
      <c r="C72" s="2" t="s">
        <v>2488</v>
      </c>
      <c r="D72" s="5" t="s">
        <v>2490</v>
      </c>
      <c r="E72" s="4" t="s">
        <v>2491</v>
      </c>
      <c r="F72" s="6">
        <v>14277629</v>
      </c>
      <c r="G72" s="3">
        <v>14277629</v>
      </c>
      <c r="H72" s="7">
        <v>762120161008</v>
      </c>
      <c r="I72" s="8" t="s">
        <v>1233</v>
      </c>
      <c r="J72" s="4">
        <v>1</v>
      </c>
      <c r="K72" s="9">
        <v>7.99</v>
      </c>
      <c r="L72" s="9">
        <v>7.99</v>
      </c>
      <c r="M72" s="4" t="s">
        <v>1234</v>
      </c>
      <c r="N72" s="4" t="s">
        <v>2731</v>
      </c>
      <c r="O72" s="4">
        <v>5</v>
      </c>
      <c r="P72" s="4" t="s">
        <v>2602</v>
      </c>
      <c r="Q72" s="4" t="s">
        <v>2528</v>
      </c>
      <c r="R72" s="4"/>
      <c r="S72" s="4"/>
      <c r="T72" s="4" t="str">
        <f>HYPERLINK("http://slimages.macys.com/is/image/MCY/20819642 ")</f>
        <v xml:space="preserve">http://slimages.macys.com/is/image/MCY/20819642 </v>
      </c>
    </row>
    <row r="73" spans="1:20" ht="15" customHeight="1" x14ac:dyDescent="0.25">
      <c r="A73" s="4" t="s">
        <v>2489</v>
      </c>
      <c r="B73" s="2" t="s">
        <v>2487</v>
      </c>
      <c r="C73" s="2" t="s">
        <v>2488</v>
      </c>
      <c r="D73" s="5" t="s">
        <v>2490</v>
      </c>
      <c r="E73" s="4" t="s">
        <v>2491</v>
      </c>
      <c r="F73" s="6">
        <v>14277629</v>
      </c>
      <c r="G73" s="3">
        <v>14277629</v>
      </c>
      <c r="H73" s="7">
        <v>196027062685</v>
      </c>
      <c r="I73" s="8" t="s">
        <v>1235</v>
      </c>
      <c r="J73" s="4">
        <v>1</v>
      </c>
      <c r="K73" s="9">
        <v>17.989999999999998</v>
      </c>
      <c r="L73" s="9">
        <v>17.989999999999998</v>
      </c>
      <c r="M73" s="4" t="s">
        <v>1236</v>
      </c>
      <c r="N73" s="4" t="s">
        <v>2544</v>
      </c>
      <c r="O73" s="4" t="s">
        <v>2587</v>
      </c>
      <c r="P73" s="4" t="s">
        <v>2569</v>
      </c>
      <c r="Q73" s="4" t="s">
        <v>2590</v>
      </c>
      <c r="R73" s="4"/>
      <c r="S73" s="4"/>
      <c r="T73" s="4" t="str">
        <f>HYPERLINK("http://slimages.macys.com/is/image/MCY/20662545 ")</f>
        <v xml:space="preserve">http://slimages.macys.com/is/image/MCY/20662545 </v>
      </c>
    </row>
    <row r="74" spans="1:20" ht="15" customHeight="1" x14ac:dyDescent="0.25">
      <c r="A74" s="4" t="s">
        <v>2489</v>
      </c>
      <c r="B74" s="2" t="s">
        <v>2487</v>
      </c>
      <c r="C74" s="2" t="s">
        <v>2488</v>
      </c>
      <c r="D74" s="5" t="s">
        <v>2490</v>
      </c>
      <c r="E74" s="4" t="s">
        <v>2491</v>
      </c>
      <c r="F74" s="6">
        <v>14277629</v>
      </c>
      <c r="G74" s="3">
        <v>14277629</v>
      </c>
      <c r="H74" s="7">
        <v>193579317171</v>
      </c>
      <c r="I74" s="8" t="s">
        <v>1237</v>
      </c>
      <c r="J74" s="4">
        <v>1</v>
      </c>
      <c r="K74" s="9">
        <v>14.99</v>
      </c>
      <c r="L74" s="9">
        <v>14.99</v>
      </c>
      <c r="M74" s="4" t="s">
        <v>1238</v>
      </c>
      <c r="N74" s="4" t="s">
        <v>2501</v>
      </c>
      <c r="O74" s="4"/>
      <c r="P74" s="4" t="s">
        <v>2666</v>
      </c>
      <c r="Q74" s="4" t="s">
        <v>2814</v>
      </c>
      <c r="R74" s="4" t="s">
        <v>2552</v>
      </c>
      <c r="S74" s="4" t="s">
        <v>2834</v>
      </c>
      <c r="T74" s="4" t="str">
        <f>HYPERLINK("http://slimages.macys.com/is/image/MCY/14890517 ")</f>
        <v xml:space="preserve">http://slimages.macys.com/is/image/MCY/14890517 </v>
      </c>
    </row>
    <row r="75" spans="1:20" ht="15" customHeight="1" x14ac:dyDescent="0.25">
      <c r="A75" s="4" t="s">
        <v>2489</v>
      </c>
      <c r="B75" s="2" t="s">
        <v>2487</v>
      </c>
      <c r="C75" s="2" t="s">
        <v>2488</v>
      </c>
      <c r="D75" s="5" t="s">
        <v>2490</v>
      </c>
      <c r="E75" s="4" t="s">
        <v>2491</v>
      </c>
      <c r="F75" s="6">
        <v>14277629</v>
      </c>
      <c r="G75" s="3">
        <v>14277629</v>
      </c>
      <c r="H75" s="7">
        <v>733004112577</v>
      </c>
      <c r="I75" s="8" t="s">
        <v>1239</v>
      </c>
      <c r="J75" s="4">
        <v>1</v>
      </c>
      <c r="K75" s="9">
        <v>7.99</v>
      </c>
      <c r="L75" s="9">
        <v>7.99</v>
      </c>
      <c r="M75" s="4" t="s">
        <v>1240</v>
      </c>
      <c r="N75" s="4" t="s">
        <v>2571</v>
      </c>
      <c r="O75" s="4">
        <v>5</v>
      </c>
      <c r="P75" s="4" t="s">
        <v>2520</v>
      </c>
      <c r="Q75" s="4" t="s">
        <v>2528</v>
      </c>
      <c r="R75" s="4"/>
      <c r="S75" s="4"/>
      <c r="T75" s="4" t="str">
        <f>HYPERLINK("http://slimages.macys.com/is/image/MCY/19844159 ")</f>
        <v xml:space="preserve">http://slimages.macys.com/is/image/MCY/19844159 </v>
      </c>
    </row>
    <row r="76" spans="1:20" ht="15" customHeight="1" x14ac:dyDescent="0.25">
      <c r="A76" s="4" t="s">
        <v>2489</v>
      </c>
      <c r="B76" s="2" t="s">
        <v>2487</v>
      </c>
      <c r="C76" s="2" t="s">
        <v>2488</v>
      </c>
      <c r="D76" s="5" t="s">
        <v>2490</v>
      </c>
      <c r="E76" s="4" t="s">
        <v>2491</v>
      </c>
      <c r="F76" s="6">
        <v>14277629</v>
      </c>
      <c r="G76" s="3">
        <v>14277629</v>
      </c>
      <c r="H76" s="7">
        <v>733003928629</v>
      </c>
      <c r="I76" s="8" t="s">
        <v>1241</v>
      </c>
      <c r="J76" s="4">
        <v>1</v>
      </c>
      <c r="K76" s="9">
        <v>7.99</v>
      </c>
      <c r="L76" s="9">
        <v>7.99</v>
      </c>
      <c r="M76" s="4" t="s">
        <v>1242</v>
      </c>
      <c r="N76" s="4" t="s">
        <v>2600</v>
      </c>
      <c r="O76" s="4" t="s">
        <v>2629</v>
      </c>
      <c r="P76" s="4" t="s">
        <v>2503</v>
      </c>
      <c r="Q76" s="4" t="s">
        <v>2504</v>
      </c>
      <c r="R76" s="4"/>
      <c r="S76" s="4"/>
      <c r="T76" s="4" t="str">
        <f>HYPERLINK("http://slimages.macys.com/is/image/MCY/19520973 ")</f>
        <v xml:space="preserve">http://slimages.macys.com/is/image/MCY/19520973 </v>
      </c>
    </row>
    <row r="77" spans="1:20" ht="15" customHeight="1" x14ac:dyDescent="0.25">
      <c r="A77" s="4" t="s">
        <v>2489</v>
      </c>
      <c r="B77" s="2" t="s">
        <v>2487</v>
      </c>
      <c r="C77" s="2" t="s">
        <v>2488</v>
      </c>
      <c r="D77" s="5" t="s">
        <v>2490</v>
      </c>
      <c r="E77" s="4" t="s">
        <v>2491</v>
      </c>
      <c r="F77" s="6">
        <v>14277629</v>
      </c>
      <c r="G77" s="3">
        <v>14277629</v>
      </c>
      <c r="H77" s="7">
        <v>492030649210</v>
      </c>
      <c r="I77" s="8" t="s">
        <v>1243</v>
      </c>
      <c r="J77" s="4">
        <v>2</v>
      </c>
      <c r="K77" s="9">
        <v>7.5</v>
      </c>
      <c r="L77" s="9">
        <v>15</v>
      </c>
      <c r="M77" s="4" t="s">
        <v>1244</v>
      </c>
      <c r="N77" s="4" t="s">
        <v>2769</v>
      </c>
      <c r="O77" s="4" t="s">
        <v>2669</v>
      </c>
      <c r="P77" s="4" t="s">
        <v>2503</v>
      </c>
      <c r="Q77" s="4" t="s">
        <v>2504</v>
      </c>
      <c r="R77" s="4"/>
      <c r="S77" s="4"/>
      <c r="T77" s="4"/>
    </row>
    <row r="78" spans="1:20" ht="15" customHeight="1" x14ac:dyDescent="0.25">
      <c r="A78" s="4" t="s">
        <v>2489</v>
      </c>
      <c r="B78" s="2" t="s">
        <v>2487</v>
      </c>
      <c r="C78" s="2" t="s">
        <v>2488</v>
      </c>
      <c r="D78" s="5" t="s">
        <v>2490</v>
      </c>
      <c r="E78" s="4" t="s">
        <v>2491</v>
      </c>
      <c r="F78" s="6">
        <v>14277629</v>
      </c>
      <c r="G78" s="3">
        <v>14277629</v>
      </c>
      <c r="H78" s="7">
        <v>733004738258</v>
      </c>
      <c r="I78" s="8" t="s">
        <v>1245</v>
      </c>
      <c r="J78" s="4">
        <v>1</v>
      </c>
      <c r="K78" s="9">
        <v>6.99</v>
      </c>
      <c r="L78" s="9">
        <v>6.99</v>
      </c>
      <c r="M78" s="4" t="s">
        <v>2777</v>
      </c>
      <c r="N78" s="4" t="s">
        <v>2638</v>
      </c>
      <c r="O78" s="4" t="s">
        <v>2601</v>
      </c>
      <c r="P78" s="4" t="s">
        <v>2503</v>
      </c>
      <c r="Q78" s="4" t="s">
        <v>2504</v>
      </c>
      <c r="R78" s="4"/>
      <c r="S78" s="4"/>
      <c r="T78" s="4" t="str">
        <f>HYPERLINK("http://slimages.macys.com/is/image/MCY/19983979 ")</f>
        <v xml:space="preserve">http://slimages.macys.com/is/image/MCY/19983979 </v>
      </c>
    </row>
    <row r="79" spans="1:20" ht="15" customHeight="1" x14ac:dyDescent="0.25">
      <c r="A79" s="4" t="s">
        <v>2489</v>
      </c>
      <c r="B79" s="2" t="s">
        <v>2487</v>
      </c>
      <c r="C79" s="2" t="s">
        <v>2488</v>
      </c>
      <c r="D79" s="5" t="s">
        <v>2490</v>
      </c>
      <c r="E79" s="4" t="s">
        <v>2491</v>
      </c>
      <c r="F79" s="6">
        <v>14277629</v>
      </c>
      <c r="G79" s="3">
        <v>14277629</v>
      </c>
      <c r="H79" s="7">
        <v>193579316860</v>
      </c>
      <c r="I79" s="8" t="s">
        <v>2812</v>
      </c>
      <c r="J79" s="4">
        <v>1</v>
      </c>
      <c r="K79" s="9">
        <v>12.99</v>
      </c>
      <c r="L79" s="9">
        <v>12.99</v>
      </c>
      <c r="M79" s="4" t="s">
        <v>2813</v>
      </c>
      <c r="N79" s="4" t="s">
        <v>2497</v>
      </c>
      <c r="O79" s="4"/>
      <c r="P79" s="4" t="s">
        <v>2666</v>
      </c>
      <c r="Q79" s="4" t="s">
        <v>2814</v>
      </c>
      <c r="R79" s="4" t="s">
        <v>2552</v>
      </c>
      <c r="S79" s="4" t="s">
        <v>2593</v>
      </c>
      <c r="T79" s="4" t="str">
        <f>HYPERLINK("http://slimages.macys.com/is/image/MCY/14890413 ")</f>
        <v xml:space="preserve">http://slimages.macys.com/is/image/MCY/14890413 </v>
      </c>
    </row>
    <row r="80" spans="1:20" ht="15" customHeight="1" x14ac:dyDescent="0.25">
      <c r="A80" s="4" t="s">
        <v>2489</v>
      </c>
      <c r="B80" s="2" t="s">
        <v>2487</v>
      </c>
      <c r="C80" s="2" t="s">
        <v>2488</v>
      </c>
      <c r="D80" s="5" t="s">
        <v>2490</v>
      </c>
      <c r="E80" s="4" t="s">
        <v>2491</v>
      </c>
      <c r="F80" s="6">
        <v>14277629</v>
      </c>
      <c r="G80" s="3">
        <v>14277629</v>
      </c>
      <c r="H80" s="7">
        <v>733003924102</v>
      </c>
      <c r="I80" s="8" t="s">
        <v>1246</v>
      </c>
      <c r="J80" s="4">
        <v>1</v>
      </c>
      <c r="K80" s="9">
        <v>6.99</v>
      </c>
      <c r="L80" s="9">
        <v>6.99</v>
      </c>
      <c r="M80" s="4" t="s">
        <v>1247</v>
      </c>
      <c r="N80" s="4" t="s">
        <v>2501</v>
      </c>
      <c r="O80" s="4" t="s">
        <v>2566</v>
      </c>
      <c r="P80" s="4" t="s">
        <v>2503</v>
      </c>
      <c r="Q80" s="4" t="s">
        <v>2504</v>
      </c>
      <c r="R80" s="4"/>
      <c r="S80" s="4"/>
      <c r="T80" s="4" t="str">
        <f>HYPERLINK("http://slimages.macys.com/is/image/MCY/19507685 ")</f>
        <v xml:space="preserve">http://slimages.macys.com/is/image/MCY/19507685 </v>
      </c>
    </row>
    <row r="81" spans="1:20" ht="15" customHeight="1" x14ac:dyDescent="0.25">
      <c r="A81" s="4" t="s">
        <v>2489</v>
      </c>
      <c r="B81" s="2" t="s">
        <v>2487</v>
      </c>
      <c r="C81" s="2" t="s">
        <v>2488</v>
      </c>
      <c r="D81" s="5" t="s">
        <v>2490</v>
      </c>
      <c r="E81" s="4" t="s">
        <v>2491</v>
      </c>
      <c r="F81" s="6">
        <v>14277629</v>
      </c>
      <c r="G81" s="3">
        <v>14277629</v>
      </c>
      <c r="H81" s="7">
        <v>762120086431</v>
      </c>
      <c r="I81" s="8" t="s">
        <v>1775</v>
      </c>
      <c r="J81" s="4">
        <v>2</v>
      </c>
      <c r="K81" s="9">
        <v>7.99</v>
      </c>
      <c r="L81" s="9">
        <v>15.98</v>
      </c>
      <c r="M81" s="4" t="s">
        <v>1776</v>
      </c>
      <c r="N81" s="4" t="s">
        <v>2638</v>
      </c>
      <c r="O81" s="4" t="s">
        <v>2628</v>
      </c>
      <c r="P81" s="4" t="s">
        <v>2602</v>
      </c>
      <c r="Q81" s="4" t="s">
        <v>2528</v>
      </c>
      <c r="R81" s="4"/>
      <c r="S81" s="4"/>
      <c r="T81" s="4" t="str">
        <f>HYPERLINK("http://slimages.macys.com/is/image/MCY/1079693 ")</f>
        <v xml:space="preserve">http://slimages.macys.com/is/image/MCY/1079693 </v>
      </c>
    </row>
    <row r="82" spans="1:20" ht="15" customHeight="1" x14ac:dyDescent="0.25">
      <c r="A82" s="4" t="s">
        <v>2489</v>
      </c>
      <c r="B82" s="2" t="s">
        <v>2487</v>
      </c>
      <c r="C82" s="2" t="s">
        <v>2488</v>
      </c>
      <c r="D82" s="5" t="s">
        <v>2490</v>
      </c>
      <c r="E82" s="4" t="s">
        <v>2491</v>
      </c>
      <c r="F82" s="6">
        <v>14277629</v>
      </c>
      <c r="G82" s="3">
        <v>14277629</v>
      </c>
      <c r="H82" s="7">
        <v>193605608716</v>
      </c>
      <c r="I82" s="8" t="s">
        <v>1248</v>
      </c>
      <c r="J82" s="4">
        <v>1</v>
      </c>
      <c r="K82" s="9">
        <v>40</v>
      </c>
      <c r="L82" s="9">
        <v>40</v>
      </c>
      <c r="M82" s="4" t="s">
        <v>1249</v>
      </c>
      <c r="N82" s="4" t="s">
        <v>2614</v>
      </c>
      <c r="O82" s="4" t="s">
        <v>2699</v>
      </c>
      <c r="P82" s="4" t="s">
        <v>2510</v>
      </c>
      <c r="Q82" s="4" t="s">
        <v>2511</v>
      </c>
      <c r="R82" s="4"/>
      <c r="S82" s="4"/>
      <c r="T82" s="4" t="str">
        <f>HYPERLINK("http://slimages.macys.com/is/image/MCY/18743796 ")</f>
        <v xml:space="preserve">http://slimages.macys.com/is/image/MCY/18743796 </v>
      </c>
    </row>
    <row r="83" spans="1:20" ht="15" customHeight="1" x14ac:dyDescent="0.25">
      <c r="A83" s="4" t="s">
        <v>2489</v>
      </c>
      <c r="B83" s="2" t="s">
        <v>2487</v>
      </c>
      <c r="C83" s="2" t="s">
        <v>2488</v>
      </c>
      <c r="D83" s="5" t="s">
        <v>2490</v>
      </c>
      <c r="E83" s="4" t="s">
        <v>2491</v>
      </c>
      <c r="F83" s="6">
        <v>14277629</v>
      </c>
      <c r="G83" s="3">
        <v>14277629</v>
      </c>
      <c r="H83" s="7">
        <v>733004765001</v>
      </c>
      <c r="I83" s="8" t="s">
        <v>1250</v>
      </c>
      <c r="J83" s="4">
        <v>1</v>
      </c>
      <c r="K83" s="9">
        <v>21.99</v>
      </c>
      <c r="L83" s="9">
        <v>21.99</v>
      </c>
      <c r="M83" s="4" t="s">
        <v>3428</v>
      </c>
      <c r="N83" s="4" t="s">
        <v>2598</v>
      </c>
      <c r="O83" s="4" t="s">
        <v>2519</v>
      </c>
      <c r="P83" s="4" t="s">
        <v>2515</v>
      </c>
      <c r="Q83" s="4" t="s">
        <v>2672</v>
      </c>
      <c r="R83" s="4"/>
      <c r="S83" s="4"/>
      <c r="T83" s="4" t="str">
        <f>HYPERLINK("http://slimages.macys.com/is/image/MCY/20530565 ")</f>
        <v xml:space="preserve">http://slimages.macys.com/is/image/MCY/20530565 </v>
      </c>
    </row>
    <row r="84" spans="1:20" ht="15" customHeight="1" x14ac:dyDescent="0.25">
      <c r="A84" s="4" t="s">
        <v>2489</v>
      </c>
      <c r="B84" s="2" t="s">
        <v>2487</v>
      </c>
      <c r="C84" s="2" t="s">
        <v>2488</v>
      </c>
      <c r="D84" s="5" t="s">
        <v>2490</v>
      </c>
      <c r="E84" s="4" t="s">
        <v>2491</v>
      </c>
      <c r="F84" s="6">
        <v>14277629</v>
      </c>
      <c r="G84" s="3">
        <v>14277629</v>
      </c>
      <c r="H84" s="7">
        <v>195958134201</v>
      </c>
      <c r="I84" s="8" t="s">
        <v>1251</v>
      </c>
      <c r="J84" s="4">
        <v>4</v>
      </c>
      <c r="K84" s="9">
        <v>26.4</v>
      </c>
      <c r="L84" s="9">
        <v>105.6</v>
      </c>
      <c r="M84" s="4" t="s">
        <v>1252</v>
      </c>
      <c r="N84" s="4" t="s">
        <v>2544</v>
      </c>
      <c r="O84" s="4">
        <v>6</v>
      </c>
      <c r="P84" s="4" t="s">
        <v>2506</v>
      </c>
      <c r="Q84" s="4" t="s">
        <v>2995</v>
      </c>
      <c r="R84" s="4"/>
      <c r="S84" s="4"/>
      <c r="T84" s="4" t="str">
        <f>HYPERLINK("http://slimages.macys.com/is/image/MCY/20364508 ")</f>
        <v xml:space="preserve">http://slimages.macys.com/is/image/MCY/20364508 </v>
      </c>
    </row>
    <row r="85" spans="1:20" ht="15" customHeight="1" x14ac:dyDescent="0.25">
      <c r="A85" s="4" t="s">
        <v>2489</v>
      </c>
      <c r="B85" s="2" t="s">
        <v>2487</v>
      </c>
      <c r="C85" s="2" t="s">
        <v>2488</v>
      </c>
      <c r="D85" s="5" t="s">
        <v>2490</v>
      </c>
      <c r="E85" s="4" t="s">
        <v>2491</v>
      </c>
      <c r="F85" s="6">
        <v>14277629</v>
      </c>
      <c r="G85" s="3">
        <v>14277629</v>
      </c>
      <c r="H85" s="7">
        <v>195883642154</v>
      </c>
      <c r="I85" s="8" t="s">
        <v>1253</v>
      </c>
      <c r="J85" s="4">
        <v>1</v>
      </c>
      <c r="K85" s="9">
        <v>5.99</v>
      </c>
      <c r="L85" s="9">
        <v>5.99</v>
      </c>
      <c r="M85" s="4" t="s">
        <v>2201</v>
      </c>
      <c r="N85" s="4" t="s">
        <v>2505</v>
      </c>
      <c r="O85" s="4">
        <v>4</v>
      </c>
      <c r="P85" s="4" t="s">
        <v>2506</v>
      </c>
      <c r="Q85" s="4" t="s">
        <v>2527</v>
      </c>
      <c r="R85" s="4"/>
      <c r="S85" s="4"/>
      <c r="T85" s="4" t="str">
        <f>HYPERLINK("http://slimages.macys.com/is/image/MCY/20726212 ")</f>
        <v xml:space="preserve">http://slimages.macys.com/is/image/MCY/20726212 </v>
      </c>
    </row>
    <row r="86" spans="1:20" ht="15" customHeight="1" x14ac:dyDescent="0.25">
      <c r="A86" s="4" t="s">
        <v>2489</v>
      </c>
      <c r="B86" s="2" t="s">
        <v>2487</v>
      </c>
      <c r="C86" s="2" t="s">
        <v>2488</v>
      </c>
      <c r="D86" s="5" t="s">
        <v>2490</v>
      </c>
      <c r="E86" s="4" t="s">
        <v>2491</v>
      </c>
      <c r="F86" s="6">
        <v>14277629</v>
      </c>
      <c r="G86" s="3">
        <v>14277629</v>
      </c>
      <c r="H86" s="7">
        <v>733004297632</v>
      </c>
      <c r="I86" s="8" t="s">
        <v>2138</v>
      </c>
      <c r="J86" s="4">
        <v>1</v>
      </c>
      <c r="K86" s="9">
        <v>27.99</v>
      </c>
      <c r="L86" s="9">
        <v>27.99</v>
      </c>
      <c r="M86" s="4" t="s">
        <v>2949</v>
      </c>
      <c r="N86" s="4" t="s">
        <v>2497</v>
      </c>
      <c r="O86" s="4" t="s">
        <v>2555</v>
      </c>
      <c r="P86" s="4" t="s">
        <v>2515</v>
      </c>
      <c r="Q86" s="4" t="s">
        <v>2672</v>
      </c>
      <c r="R86" s="4"/>
      <c r="S86" s="4"/>
      <c r="T86" s="4" t="str">
        <f>HYPERLINK("http://slimages.macys.com/is/image/MCY/20143278 ")</f>
        <v xml:space="preserve">http://slimages.macys.com/is/image/MCY/20143278 </v>
      </c>
    </row>
    <row r="87" spans="1:20" ht="15" customHeight="1" x14ac:dyDescent="0.25">
      <c r="A87" s="4" t="s">
        <v>2489</v>
      </c>
      <c r="B87" s="2" t="s">
        <v>2487</v>
      </c>
      <c r="C87" s="2" t="s">
        <v>2488</v>
      </c>
      <c r="D87" s="5" t="s">
        <v>2490</v>
      </c>
      <c r="E87" s="4" t="s">
        <v>2491</v>
      </c>
      <c r="F87" s="6">
        <v>14277629</v>
      </c>
      <c r="G87" s="3">
        <v>14277629</v>
      </c>
      <c r="H87" s="7">
        <v>194931204856</v>
      </c>
      <c r="I87" s="8" t="s">
        <v>2962</v>
      </c>
      <c r="J87" s="4">
        <v>2</v>
      </c>
      <c r="K87" s="9">
        <v>21.6</v>
      </c>
      <c r="L87" s="9">
        <v>43.2</v>
      </c>
      <c r="M87" s="4" t="s">
        <v>2963</v>
      </c>
      <c r="N87" s="4" t="s">
        <v>2739</v>
      </c>
      <c r="O87" s="4"/>
      <c r="P87" s="4" t="s">
        <v>2622</v>
      </c>
      <c r="Q87" s="4" t="s">
        <v>2643</v>
      </c>
      <c r="R87" s="4"/>
      <c r="S87" s="4"/>
      <c r="T87" s="4" t="str">
        <f>HYPERLINK("http://slimages.macys.com/is/image/MCY/19992480 ")</f>
        <v xml:space="preserve">http://slimages.macys.com/is/image/MCY/19992480 </v>
      </c>
    </row>
    <row r="88" spans="1:20" ht="15" customHeight="1" x14ac:dyDescent="0.25">
      <c r="A88" s="4" t="s">
        <v>2489</v>
      </c>
      <c r="B88" s="2" t="s">
        <v>2487</v>
      </c>
      <c r="C88" s="2" t="s">
        <v>2488</v>
      </c>
      <c r="D88" s="5" t="s">
        <v>2490</v>
      </c>
      <c r="E88" s="4" t="s">
        <v>2491</v>
      </c>
      <c r="F88" s="6">
        <v>14277629</v>
      </c>
      <c r="G88" s="3">
        <v>14277629</v>
      </c>
      <c r="H88" s="7">
        <v>195883380650</v>
      </c>
      <c r="I88" s="8" t="s">
        <v>3110</v>
      </c>
      <c r="J88" s="4">
        <v>1</v>
      </c>
      <c r="K88" s="9">
        <v>8.99</v>
      </c>
      <c r="L88" s="9">
        <v>8.99</v>
      </c>
      <c r="M88" s="4" t="s">
        <v>3107</v>
      </c>
      <c r="N88" s="4" t="s">
        <v>2501</v>
      </c>
      <c r="O88" s="4">
        <v>4</v>
      </c>
      <c r="P88" s="4" t="s">
        <v>2506</v>
      </c>
      <c r="Q88" s="4" t="s">
        <v>2527</v>
      </c>
      <c r="R88" s="4"/>
      <c r="S88" s="4"/>
      <c r="T88" s="4" t="str">
        <f>HYPERLINK("http://slimages.macys.com/is/image/MCY/20192080 ")</f>
        <v xml:space="preserve">http://slimages.macys.com/is/image/MCY/20192080 </v>
      </c>
    </row>
    <row r="89" spans="1:20" ht="15" customHeight="1" x14ac:dyDescent="0.25">
      <c r="A89" s="4" t="s">
        <v>2489</v>
      </c>
      <c r="B89" s="2" t="s">
        <v>2487</v>
      </c>
      <c r="C89" s="2" t="s">
        <v>2488</v>
      </c>
      <c r="D89" s="5" t="s">
        <v>2490</v>
      </c>
      <c r="E89" s="4" t="s">
        <v>2491</v>
      </c>
      <c r="F89" s="6">
        <v>14277629</v>
      </c>
      <c r="G89" s="3">
        <v>14277629</v>
      </c>
      <c r="H89" s="7">
        <v>762120077880</v>
      </c>
      <c r="I89" s="8" t="s">
        <v>1828</v>
      </c>
      <c r="J89" s="4">
        <v>1</v>
      </c>
      <c r="K89" s="9">
        <v>16.989999999999998</v>
      </c>
      <c r="L89" s="9">
        <v>16.989999999999998</v>
      </c>
      <c r="M89" s="4" t="s">
        <v>1780</v>
      </c>
      <c r="N89" s="4" t="s">
        <v>2523</v>
      </c>
      <c r="O89" s="4" t="s">
        <v>2587</v>
      </c>
      <c r="P89" s="4" t="s">
        <v>2520</v>
      </c>
      <c r="Q89" s="4" t="s">
        <v>2528</v>
      </c>
      <c r="R89" s="4"/>
      <c r="S89" s="4"/>
      <c r="T89" s="4" t="str">
        <f>HYPERLINK("http://slimages.macys.com/is/image/MCY/20665875 ")</f>
        <v xml:space="preserve">http://slimages.macys.com/is/image/MCY/20665875 </v>
      </c>
    </row>
    <row r="90" spans="1:20" ht="15" customHeight="1" x14ac:dyDescent="0.25">
      <c r="A90" s="4" t="s">
        <v>2489</v>
      </c>
      <c r="B90" s="2" t="s">
        <v>2487</v>
      </c>
      <c r="C90" s="2" t="s">
        <v>2488</v>
      </c>
      <c r="D90" s="5" t="s">
        <v>2490</v>
      </c>
      <c r="E90" s="4" t="s">
        <v>2491</v>
      </c>
      <c r="F90" s="6">
        <v>14277629</v>
      </c>
      <c r="G90" s="3">
        <v>14277629</v>
      </c>
      <c r="H90" s="7">
        <v>762120020176</v>
      </c>
      <c r="I90" s="8" t="s">
        <v>1254</v>
      </c>
      <c r="J90" s="4">
        <v>1</v>
      </c>
      <c r="K90" s="9">
        <v>6.99</v>
      </c>
      <c r="L90" s="9">
        <v>6.99</v>
      </c>
      <c r="M90" s="4" t="s">
        <v>3235</v>
      </c>
      <c r="N90" s="4" t="s">
        <v>2638</v>
      </c>
      <c r="O90" s="4" t="s">
        <v>2493</v>
      </c>
      <c r="P90" s="4" t="s">
        <v>2503</v>
      </c>
      <c r="Q90" s="4" t="s">
        <v>2504</v>
      </c>
      <c r="R90" s="4"/>
      <c r="S90" s="4"/>
      <c r="T90" s="4" t="str">
        <f>HYPERLINK("http://slimages.macys.com/is/image/MCY/20436495 ")</f>
        <v xml:space="preserve">http://slimages.macys.com/is/image/MCY/20436495 </v>
      </c>
    </row>
    <row r="91" spans="1:20" ht="15" customHeight="1" x14ac:dyDescent="0.25">
      <c r="A91" s="4" t="s">
        <v>2489</v>
      </c>
      <c r="B91" s="2" t="s">
        <v>2487</v>
      </c>
      <c r="C91" s="2" t="s">
        <v>2488</v>
      </c>
      <c r="D91" s="5" t="s">
        <v>2490</v>
      </c>
      <c r="E91" s="4" t="s">
        <v>2491</v>
      </c>
      <c r="F91" s="6">
        <v>14277629</v>
      </c>
      <c r="G91" s="3">
        <v>14277629</v>
      </c>
      <c r="H91" s="7">
        <v>762120020145</v>
      </c>
      <c r="I91" s="8" t="s">
        <v>1255</v>
      </c>
      <c r="J91" s="4">
        <v>1</v>
      </c>
      <c r="K91" s="9">
        <v>6.99</v>
      </c>
      <c r="L91" s="9">
        <v>6.99</v>
      </c>
      <c r="M91" s="4" t="s">
        <v>3235</v>
      </c>
      <c r="N91" s="4" t="s">
        <v>2638</v>
      </c>
      <c r="O91" s="4" t="s">
        <v>2559</v>
      </c>
      <c r="P91" s="4" t="s">
        <v>2503</v>
      </c>
      <c r="Q91" s="4" t="s">
        <v>2504</v>
      </c>
      <c r="R91" s="4"/>
      <c r="S91" s="4"/>
      <c r="T91" s="4" t="str">
        <f>HYPERLINK("http://slimages.macys.com/is/image/MCY/20436495 ")</f>
        <v xml:space="preserve">http://slimages.macys.com/is/image/MCY/20436495 </v>
      </c>
    </row>
    <row r="92" spans="1:20" ht="15" customHeight="1" x14ac:dyDescent="0.25">
      <c r="A92" s="4" t="s">
        <v>2489</v>
      </c>
      <c r="B92" s="2" t="s">
        <v>2487</v>
      </c>
      <c r="C92" s="2" t="s">
        <v>2488</v>
      </c>
      <c r="D92" s="5" t="s">
        <v>2490</v>
      </c>
      <c r="E92" s="4" t="s">
        <v>2491</v>
      </c>
      <c r="F92" s="6">
        <v>14277629</v>
      </c>
      <c r="G92" s="3">
        <v>14277629</v>
      </c>
      <c r="H92" s="7">
        <v>195237815036</v>
      </c>
      <c r="I92" s="8" t="s">
        <v>1256</v>
      </c>
      <c r="J92" s="4">
        <v>1</v>
      </c>
      <c r="K92" s="9">
        <v>23.99</v>
      </c>
      <c r="L92" s="9">
        <v>23.99</v>
      </c>
      <c r="M92" s="4" t="s">
        <v>1257</v>
      </c>
      <c r="N92" s="4" t="s">
        <v>2893</v>
      </c>
      <c r="O92" s="4" t="s">
        <v>2532</v>
      </c>
      <c r="P92" s="4" t="s">
        <v>2499</v>
      </c>
      <c r="Q92" s="4" t="s">
        <v>2568</v>
      </c>
      <c r="R92" s="4"/>
      <c r="S92" s="4"/>
      <c r="T92" s="4" t="str">
        <f>HYPERLINK("http://slimages.macys.com/is/image/MCY/19545344 ")</f>
        <v xml:space="preserve">http://slimages.macys.com/is/image/MCY/19545344 </v>
      </c>
    </row>
    <row r="93" spans="1:20" ht="15" customHeight="1" x14ac:dyDescent="0.25">
      <c r="A93" s="4" t="s">
        <v>2489</v>
      </c>
      <c r="B93" s="2" t="s">
        <v>2487</v>
      </c>
      <c r="C93" s="2" t="s">
        <v>2488</v>
      </c>
      <c r="D93" s="5" t="s">
        <v>2490</v>
      </c>
      <c r="E93" s="4" t="s">
        <v>2491</v>
      </c>
      <c r="F93" s="6">
        <v>14277629</v>
      </c>
      <c r="G93" s="3">
        <v>14277629</v>
      </c>
      <c r="H93" s="7">
        <v>733004883736</v>
      </c>
      <c r="I93" s="8" t="s">
        <v>1816</v>
      </c>
      <c r="J93" s="4">
        <v>2</v>
      </c>
      <c r="K93" s="9">
        <v>6.99</v>
      </c>
      <c r="L93" s="9">
        <v>13.98</v>
      </c>
      <c r="M93" s="4" t="s">
        <v>2826</v>
      </c>
      <c r="N93" s="4" t="s">
        <v>2505</v>
      </c>
      <c r="O93" s="4"/>
      <c r="P93" s="4" t="s">
        <v>2503</v>
      </c>
      <c r="Q93" s="4" t="s">
        <v>2504</v>
      </c>
      <c r="R93" s="4"/>
      <c r="S93" s="4"/>
      <c r="T93" s="4" t="str">
        <f>HYPERLINK("http://slimages.macys.com/is/image/MCY/20142535 ")</f>
        <v xml:space="preserve">http://slimages.macys.com/is/image/MCY/20142535 </v>
      </c>
    </row>
    <row r="94" spans="1:20" ht="15" customHeight="1" x14ac:dyDescent="0.25">
      <c r="A94" s="4" t="s">
        <v>2489</v>
      </c>
      <c r="B94" s="2" t="s">
        <v>2487</v>
      </c>
      <c r="C94" s="2" t="s">
        <v>2488</v>
      </c>
      <c r="D94" s="5" t="s">
        <v>2490</v>
      </c>
      <c r="E94" s="4" t="s">
        <v>2491</v>
      </c>
      <c r="F94" s="6">
        <v>14277629</v>
      </c>
      <c r="G94" s="3">
        <v>14277629</v>
      </c>
      <c r="H94" s="7">
        <v>733004723124</v>
      </c>
      <c r="I94" s="8" t="s">
        <v>3177</v>
      </c>
      <c r="J94" s="4">
        <v>1</v>
      </c>
      <c r="K94" s="9">
        <v>25.99</v>
      </c>
      <c r="L94" s="9">
        <v>25.99</v>
      </c>
      <c r="M94" s="4" t="s">
        <v>3178</v>
      </c>
      <c r="N94" s="4" t="s">
        <v>2518</v>
      </c>
      <c r="O94" s="4"/>
      <c r="P94" s="4" t="s">
        <v>2503</v>
      </c>
      <c r="Q94" s="4" t="s">
        <v>2504</v>
      </c>
      <c r="R94" s="4"/>
      <c r="S94" s="4"/>
      <c r="T94" s="4" t="str">
        <f>HYPERLINK("http://slimages.macys.com/is/image/MCY/1041651 ")</f>
        <v xml:space="preserve">http://slimages.macys.com/is/image/MCY/1041651 </v>
      </c>
    </row>
    <row r="95" spans="1:20" ht="15" customHeight="1" x14ac:dyDescent="0.25">
      <c r="A95" s="4" t="s">
        <v>2489</v>
      </c>
      <c r="B95" s="2" t="s">
        <v>2487</v>
      </c>
      <c r="C95" s="2" t="s">
        <v>2488</v>
      </c>
      <c r="D95" s="5" t="s">
        <v>2490</v>
      </c>
      <c r="E95" s="4" t="s">
        <v>2491</v>
      </c>
      <c r="F95" s="6">
        <v>14277629</v>
      </c>
      <c r="G95" s="3">
        <v>14277629</v>
      </c>
      <c r="H95" s="7">
        <v>195883922980</v>
      </c>
      <c r="I95" s="8" t="s">
        <v>1258</v>
      </c>
      <c r="J95" s="4">
        <v>1</v>
      </c>
      <c r="K95" s="9">
        <v>8.31</v>
      </c>
      <c r="L95" s="9">
        <v>8.31</v>
      </c>
      <c r="M95" s="4" t="s">
        <v>3158</v>
      </c>
      <c r="N95" s="4" t="s">
        <v>2508</v>
      </c>
      <c r="O95" s="4">
        <v>5</v>
      </c>
      <c r="P95" s="4" t="s">
        <v>2506</v>
      </c>
      <c r="Q95" s="4" t="s">
        <v>2527</v>
      </c>
      <c r="R95" s="4"/>
      <c r="S95" s="4"/>
      <c r="T95" s="4" t="str">
        <f>HYPERLINK("http://slimages.macys.com/is/image/MCY/20905079 ")</f>
        <v xml:space="preserve">http://slimages.macys.com/is/image/MCY/20905079 </v>
      </c>
    </row>
    <row r="96" spans="1:20" ht="15" customHeight="1" x14ac:dyDescent="0.25">
      <c r="A96" s="4" t="s">
        <v>2489</v>
      </c>
      <c r="B96" s="2" t="s">
        <v>2487</v>
      </c>
      <c r="C96" s="2" t="s">
        <v>2488</v>
      </c>
      <c r="D96" s="5" t="s">
        <v>2490</v>
      </c>
      <c r="E96" s="4" t="s">
        <v>2491</v>
      </c>
      <c r="F96" s="6">
        <v>14277629</v>
      </c>
      <c r="G96" s="3">
        <v>14277629</v>
      </c>
      <c r="H96" s="7">
        <v>733004031656</v>
      </c>
      <c r="I96" s="8" t="s">
        <v>1259</v>
      </c>
      <c r="J96" s="4">
        <v>1</v>
      </c>
      <c r="K96" s="9">
        <v>19.989999999999998</v>
      </c>
      <c r="L96" s="9">
        <v>19.989999999999998</v>
      </c>
      <c r="M96" s="4" t="s">
        <v>1260</v>
      </c>
      <c r="N96" s="4" t="s">
        <v>2523</v>
      </c>
      <c r="O96" s="4" t="s">
        <v>2629</v>
      </c>
      <c r="P96" s="4" t="s">
        <v>2602</v>
      </c>
      <c r="Q96" s="4" t="s">
        <v>2528</v>
      </c>
      <c r="R96" s="4"/>
      <c r="S96" s="4"/>
      <c r="T96" s="4" t="str">
        <f>HYPERLINK("http://slimages.macys.com/is/image/MCY/19943794 ")</f>
        <v xml:space="preserve">http://slimages.macys.com/is/image/MCY/19943794 </v>
      </c>
    </row>
    <row r="97" spans="1:20" ht="15" customHeight="1" x14ac:dyDescent="0.25">
      <c r="A97" s="4" t="s">
        <v>2489</v>
      </c>
      <c r="B97" s="2" t="s">
        <v>2487</v>
      </c>
      <c r="C97" s="2" t="s">
        <v>2488</v>
      </c>
      <c r="D97" s="5" t="s">
        <v>2490</v>
      </c>
      <c r="E97" s="4" t="s">
        <v>2491</v>
      </c>
      <c r="F97" s="6">
        <v>14277629</v>
      </c>
      <c r="G97" s="3">
        <v>14277629</v>
      </c>
      <c r="H97" s="7">
        <v>733004752070</v>
      </c>
      <c r="I97" s="8" t="s">
        <v>2128</v>
      </c>
      <c r="J97" s="4">
        <v>1</v>
      </c>
      <c r="K97" s="9">
        <v>13.99</v>
      </c>
      <c r="L97" s="9">
        <v>13.99</v>
      </c>
      <c r="M97" s="4" t="s">
        <v>1796</v>
      </c>
      <c r="N97" s="4" t="s">
        <v>2548</v>
      </c>
      <c r="O97" s="4" t="s">
        <v>2498</v>
      </c>
      <c r="P97" s="4" t="s">
        <v>2543</v>
      </c>
      <c r="Q97" s="4" t="s">
        <v>2528</v>
      </c>
      <c r="R97" s="4"/>
      <c r="S97" s="4"/>
      <c r="T97" s="4" t="str">
        <f>HYPERLINK("http://slimages.macys.com/is/image/MCY/20440815 ")</f>
        <v xml:space="preserve">http://slimages.macys.com/is/image/MCY/20440815 </v>
      </c>
    </row>
    <row r="98" spans="1:20" ht="15" customHeight="1" x14ac:dyDescent="0.25">
      <c r="A98" s="4" t="s">
        <v>2489</v>
      </c>
      <c r="B98" s="2" t="s">
        <v>2487</v>
      </c>
      <c r="C98" s="2" t="s">
        <v>2488</v>
      </c>
      <c r="D98" s="5" t="s">
        <v>2490</v>
      </c>
      <c r="E98" s="4" t="s">
        <v>2491</v>
      </c>
      <c r="F98" s="6">
        <v>14277629</v>
      </c>
      <c r="G98" s="3">
        <v>14277629</v>
      </c>
      <c r="H98" s="7">
        <v>733004729881</v>
      </c>
      <c r="I98" s="8" t="s">
        <v>1261</v>
      </c>
      <c r="J98" s="4">
        <v>1</v>
      </c>
      <c r="K98" s="9">
        <v>14.99</v>
      </c>
      <c r="L98" s="9">
        <v>14.99</v>
      </c>
      <c r="M98" s="4" t="s">
        <v>3284</v>
      </c>
      <c r="N98" s="4" t="s">
        <v>2571</v>
      </c>
      <c r="O98" s="4" t="s">
        <v>2519</v>
      </c>
      <c r="P98" s="4" t="s">
        <v>2520</v>
      </c>
      <c r="Q98" s="4" t="s">
        <v>2521</v>
      </c>
      <c r="R98" s="4"/>
      <c r="S98" s="4"/>
      <c r="T98" s="4" t="str">
        <f>HYPERLINK("http://slimages.macys.com/is/image/MCY/20433946 ")</f>
        <v xml:space="preserve">http://slimages.macys.com/is/image/MCY/20433946 </v>
      </c>
    </row>
    <row r="99" spans="1:20" ht="15" customHeight="1" x14ac:dyDescent="0.25">
      <c r="A99" s="4" t="s">
        <v>2489</v>
      </c>
      <c r="B99" s="2" t="s">
        <v>2487</v>
      </c>
      <c r="C99" s="2" t="s">
        <v>2488</v>
      </c>
      <c r="D99" s="5" t="s">
        <v>2490</v>
      </c>
      <c r="E99" s="4" t="s">
        <v>2491</v>
      </c>
      <c r="F99" s="6">
        <v>14277629</v>
      </c>
      <c r="G99" s="3">
        <v>14277629</v>
      </c>
      <c r="H99" s="7">
        <v>762120112970</v>
      </c>
      <c r="I99" s="8" t="s">
        <v>1262</v>
      </c>
      <c r="J99" s="4">
        <v>2</v>
      </c>
      <c r="K99" s="9">
        <v>6.99</v>
      </c>
      <c r="L99" s="9">
        <v>13.98</v>
      </c>
      <c r="M99" s="4" t="s">
        <v>3332</v>
      </c>
      <c r="N99" s="4" t="s">
        <v>2571</v>
      </c>
      <c r="O99" s="4" t="s">
        <v>2559</v>
      </c>
      <c r="P99" s="4" t="s">
        <v>2503</v>
      </c>
      <c r="Q99" s="4" t="s">
        <v>2504</v>
      </c>
      <c r="R99" s="4"/>
      <c r="S99" s="4"/>
      <c r="T99" s="4" t="str">
        <f>HYPERLINK("http://slimages.macys.com/is/image/MCY/19976989 ")</f>
        <v xml:space="preserve">http://slimages.macys.com/is/image/MCY/19976989 </v>
      </c>
    </row>
    <row r="100" spans="1:20" ht="15" customHeight="1" x14ac:dyDescent="0.25">
      <c r="A100" s="4" t="s">
        <v>2489</v>
      </c>
      <c r="B100" s="2" t="s">
        <v>2487</v>
      </c>
      <c r="C100" s="2" t="s">
        <v>2488</v>
      </c>
      <c r="D100" s="5" t="s">
        <v>2490</v>
      </c>
      <c r="E100" s="4" t="s">
        <v>2491</v>
      </c>
      <c r="F100" s="6">
        <v>14277629</v>
      </c>
      <c r="G100" s="3">
        <v>14277629</v>
      </c>
      <c r="H100" s="7">
        <v>733004722721</v>
      </c>
      <c r="I100" s="8" t="s">
        <v>3205</v>
      </c>
      <c r="J100" s="4">
        <v>1</v>
      </c>
      <c r="K100" s="9">
        <v>25.99</v>
      </c>
      <c r="L100" s="9">
        <v>25.99</v>
      </c>
      <c r="M100" s="4" t="s">
        <v>3193</v>
      </c>
      <c r="N100" s="4" t="s">
        <v>2530</v>
      </c>
      <c r="O100" s="4" t="s">
        <v>2493</v>
      </c>
      <c r="P100" s="4" t="s">
        <v>2503</v>
      </c>
      <c r="Q100" s="4" t="s">
        <v>2504</v>
      </c>
      <c r="R100" s="4"/>
      <c r="S100" s="4"/>
      <c r="T100" s="4" t="str">
        <f>HYPERLINK("http://slimages.macys.com/is/image/MCY/19977902 ")</f>
        <v xml:space="preserve">http://slimages.macys.com/is/image/MCY/19977902 </v>
      </c>
    </row>
    <row r="101" spans="1:20" ht="15" customHeight="1" x14ac:dyDescent="0.25">
      <c r="A101" s="4" t="s">
        <v>2489</v>
      </c>
      <c r="B101" s="2" t="s">
        <v>2487</v>
      </c>
      <c r="C101" s="2" t="s">
        <v>2488</v>
      </c>
      <c r="D101" s="5" t="s">
        <v>2490</v>
      </c>
      <c r="E101" s="4" t="s">
        <v>2491</v>
      </c>
      <c r="F101" s="6">
        <v>14277629</v>
      </c>
      <c r="G101" s="3">
        <v>14277629</v>
      </c>
      <c r="H101" s="7">
        <v>733004722820</v>
      </c>
      <c r="I101" s="8" t="s">
        <v>2086</v>
      </c>
      <c r="J101" s="4">
        <v>1</v>
      </c>
      <c r="K101" s="9">
        <v>25.99</v>
      </c>
      <c r="L101" s="9">
        <v>25.99</v>
      </c>
      <c r="M101" s="4" t="s">
        <v>3193</v>
      </c>
      <c r="N101" s="4" t="s">
        <v>2530</v>
      </c>
      <c r="O101" s="4"/>
      <c r="P101" s="4" t="s">
        <v>2503</v>
      </c>
      <c r="Q101" s="4" t="s">
        <v>2504</v>
      </c>
      <c r="R101" s="4"/>
      <c r="S101" s="4"/>
      <c r="T101" s="4" t="str">
        <f>HYPERLINK("http://slimages.macys.com/is/image/MCY/19977902 ")</f>
        <v xml:space="preserve">http://slimages.macys.com/is/image/MCY/19977902 </v>
      </c>
    </row>
    <row r="102" spans="1:20" ht="15" customHeight="1" x14ac:dyDescent="0.25">
      <c r="A102" s="4" t="s">
        <v>2489</v>
      </c>
      <c r="B102" s="2" t="s">
        <v>2487</v>
      </c>
      <c r="C102" s="2" t="s">
        <v>2488</v>
      </c>
      <c r="D102" s="5" t="s">
        <v>2490</v>
      </c>
      <c r="E102" s="4" t="s">
        <v>2491</v>
      </c>
      <c r="F102" s="6">
        <v>14277629</v>
      </c>
      <c r="G102" s="3">
        <v>14277629</v>
      </c>
      <c r="H102" s="7">
        <v>733004040276</v>
      </c>
      <c r="I102" s="8" t="s">
        <v>1263</v>
      </c>
      <c r="J102" s="4">
        <v>1</v>
      </c>
      <c r="K102" s="9">
        <v>19.989999999999998</v>
      </c>
      <c r="L102" s="9">
        <v>19.989999999999998</v>
      </c>
      <c r="M102" s="4" t="s">
        <v>2865</v>
      </c>
      <c r="N102" s="4" t="s">
        <v>2567</v>
      </c>
      <c r="O102" s="4" t="s">
        <v>2628</v>
      </c>
      <c r="P102" s="4" t="s">
        <v>2602</v>
      </c>
      <c r="Q102" s="4" t="s">
        <v>2528</v>
      </c>
      <c r="R102" s="4"/>
      <c r="S102" s="4"/>
      <c r="T102" s="4" t="str">
        <f>HYPERLINK("http://slimages.macys.com/is/image/MCY/19943805 ")</f>
        <v xml:space="preserve">http://slimages.macys.com/is/image/MCY/19943805 </v>
      </c>
    </row>
    <row r="103" spans="1:20" ht="15" customHeight="1" x14ac:dyDescent="0.25">
      <c r="A103" s="4" t="s">
        <v>2489</v>
      </c>
      <c r="B103" s="2" t="s">
        <v>2487</v>
      </c>
      <c r="C103" s="2" t="s">
        <v>2488</v>
      </c>
      <c r="D103" s="5" t="s">
        <v>2490</v>
      </c>
      <c r="E103" s="4" t="s">
        <v>2491</v>
      </c>
      <c r="F103" s="6">
        <v>14277629</v>
      </c>
      <c r="G103" s="3">
        <v>14277629</v>
      </c>
      <c r="H103" s="7">
        <v>733004040337</v>
      </c>
      <c r="I103" s="8" t="s">
        <v>1264</v>
      </c>
      <c r="J103" s="4">
        <v>1</v>
      </c>
      <c r="K103" s="9">
        <v>19.989999999999998</v>
      </c>
      <c r="L103" s="9">
        <v>19.989999999999998</v>
      </c>
      <c r="M103" s="4" t="s">
        <v>1265</v>
      </c>
      <c r="N103" s="4" t="s">
        <v>2501</v>
      </c>
      <c r="O103" s="4" t="s">
        <v>2628</v>
      </c>
      <c r="P103" s="4" t="s">
        <v>2602</v>
      </c>
      <c r="Q103" s="4" t="s">
        <v>2528</v>
      </c>
      <c r="R103" s="4"/>
      <c r="S103" s="4"/>
      <c r="T103" s="4" t="str">
        <f>HYPERLINK("http://slimages.macys.com/is/image/MCY/19944190 ")</f>
        <v xml:space="preserve">http://slimages.macys.com/is/image/MCY/19944190 </v>
      </c>
    </row>
    <row r="104" spans="1:20" ht="15" customHeight="1" x14ac:dyDescent="0.25">
      <c r="A104" s="4" t="s">
        <v>2489</v>
      </c>
      <c r="B104" s="2" t="s">
        <v>2487</v>
      </c>
      <c r="C104" s="2" t="s">
        <v>2488</v>
      </c>
      <c r="D104" s="5" t="s">
        <v>2490</v>
      </c>
      <c r="E104" s="4" t="s">
        <v>2491</v>
      </c>
      <c r="F104" s="6">
        <v>14277629</v>
      </c>
      <c r="G104" s="3">
        <v>14277629</v>
      </c>
      <c r="H104" s="7">
        <v>733004293825</v>
      </c>
      <c r="I104" s="8" t="s">
        <v>1266</v>
      </c>
      <c r="J104" s="4">
        <v>1</v>
      </c>
      <c r="K104" s="9">
        <v>13.99</v>
      </c>
      <c r="L104" s="9">
        <v>13.99</v>
      </c>
      <c r="M104" s="4" t="s">
        <v>1267</v>
      </c>
      <c r="N104" s="4" t="s">
        <v>2600</v>
      </c>
      <c r="O104" s="4" t="s">
        <v>2566</v>
      </c>
      <c r="P104" s="4" t="s">
        <v>2503</v>
      </c>
      <c r="Q104" s="4" t="s">
        <v>2504</v>
      </c>
      <c r="R104" s="4"/>
      <c r="S104" s="4"/>
      <c r="T104" s="4" t="str">
        <f>HYPERLINK("http://slimages.macys.com/is/image/MCY/19754215 ")</f>
        <v xml:space="preserve">http://slimages.macys.com/is/image/MCY/19754215 </v>
      </c>
    </row>
    <row r="105" spans="1:20" ht="15" customHeight="1" x14ac:dyDescent="0.25">
      <c r="A105" s="4" t="s">
        <v>2489</v>
      </c>
      <c r="B105" s="2" t="s">
        <v>2487</v>
      </c>
      <c r="C105" s="2" t="s">
        <v>2488</v>
      </c>
      <c r="D105" s="5" t="s">
        <v>2490</v>
      </c>
      <c r="E105" s="4" t="s">
        <v>2491</v>
      </c>
      <c r="F105" s="6">
        <v>14277629</v>
      </c>
      <c r="G105" s="3">
        <v>14277629</v>
      </c>
      <c r="H105" s="7">
        <v>733004722707</v>
      </c>
      <c r="I105" s="8" t="s">
        <v>3192</v>
      </c>
      <c r="J105" s="4">
        <v>1</v>
      </c>
      <c r="K105" s="9">
        <v>25.99</v>
      </c>
      <c r="L105" s="9">
        <v>25.99</v>
      </c>
      <c r="M105" s="4" t="s">
        <v>3193</v>
      </c>
      <c r="N105" s="4" t="s">
        <v>2530</v>
      </c>
      <c r="O105" s="4" t="s">
        <v>2601</v>
      </c>
      <c r="P105" s="4" t="s">
        <v>2503</v>
      </c>
      <c r="Q105" s="4" t="s">
        <v>2504</v>
      </c>
      <c r="R105" s="4"/>
      <c r="S105" s="4"/>
      <c r="T105" s="4" t="str">
        <f>HYPERLINK("http://slimages.macys.com/is/image/MCY/19977902 ")</f>
        <v xml:space="preserve">http://slimages.macys.com/is/image/MCY/19977902 </v>
      </c>
    </row>
    <row r="106" spans="1:20" ht="15" customHeight="1" x14ac:dyDescent="0.25">
      <c r="A106" s="4" t="s">
        <v>2489</v>
      </c>
      <c r="B106" s="2" t="s">
        <v>2487</v>
      </c>
      <c r="C106" s="2" t="s">
        <v>2488</v>
      </c>
      <c r="D106" s="5" t="s">
        <v>2490</v>
      </c>
      <c r="E106" s="4" t="s">
        <v>2491</v>
      </c>
      <c r="F106" s="6">
        <v>14277629</v>
      </c>
      <c r="G106" s="3">
        <v>14277629</v>
      </c>
      <c r="H106" s="7">
        <v>195958153608</v>
      </c>
      <c r="I106" s="8" t="s">
        <v>1268</v>
      </c>
      <c r="J106" s="4">
        <v>1</v>
      </c>
      <c r="K106" s="9">
        <v>14.99</v>
      </c>
      <c r="L106" s="9">
        <v>14.99</v>
      </c>
      <c r="M106" s="4" t="s">
        <v>3306</v>
      </c>
      <c r="N106" s="4" t="s">
        <v>2505</v>
      </c>
      <c r="O106" s="4" t="s">
        <v>2861</v>
      </c>
      <c r="P106" s="4" t="s">
        <v>2666</v>
      </c>
      <c r="Q106" s="4" t="s">
        <v>3265</v>
      </c>
      <c r="R106" s="4"/>
      <c r="S106" s="4"/>
      <c r="T106" s="4" t="str">
        <f>HYPERLINK("http://slimages.macys.com/is/image/MCY/20154565 ")</f>
        <v xml:space="preserve">http://slimages.macys.com/is/image/MCY/20154565 </v>
      </c>
    </row>
    <row r="107" spans="1:20" ht="15" customHeight="1" x14ac:dyDescent="0.25">
      <c r="A107" s="4" t="s">
        <v>2489</v>
      </c>
      <c r="B107" s="2" t="s">
        <v>2487</v>
      </c>
      <c r="C107" s="2" t="s">
        <v>2488</v>
      </c>
      <c r="D107" s="5" t="s">
        <v>2490</v>
      </c>
      <c r="E107" s="4" t="s">
        <v>2491</v>
      </c>
      <c r="F107" s="6">
        <v>14277629</v>
      </c>
      <c r="G107" s="3">
        <v>14277629</v>
      </c>
      <c r="H107" s="7">
        <v>193666722819</v>
      </c>
      <c r="I107" s="8" t="s">
        <v>3042</v>
      </c>
      <c r="J107" s="4">
        <v>2</v>
      </c>
      <c r="K107" s="9">
        <v>14.99</v>
      </c>
      <c r="L107" s="9">
        <v>29.98</v>
      </c>
      <c r="M107" s="4" t="s">
        <v>3043</v>
      </c>
      <c r="N107" s="4" t="s">
        <v>2561</v>
      </c>
      <c r="O107" s="4" t="s">
        <v>2498</v>
      </c>
      <c r="P107" s="4" t="s">
        <v>2666</v>
      </c>
      <c r="Q107" s="4" t="s">
        <v>2775</v>
      </c>
      <c r="R107" s="4"/>
      <c r="S107" s="4"/>
      <c r="T107" s="4" t="str">
        <f>HYPERLINK("http://slimages.macys.com/is/image/MCY/18619090 ")</f>
        <v xml:space="preserve">http://slimages.macys.com/is/image/MCY/18619090 </v>
      </c>
    </row>
    <row r="108" spans="1:20" ht="15" customHeight="1" x14ac:dyDescent="0.25">
      <c r="A108" s="4" t="s">
        <v>2489</v>
      </c>
      <c r="B108" s="2" t="s">
        <v>2487</v>
      </c>
      <c r="C108" s="2" t="s">
        <v>2488</v>
      </c>
      <c r="D108" s="5" t="s">
        <v>2490</v>
      </c>
      <c r="E108" s="4" t="s">
        <v>2491</v>
      </c>
      <c r="F108" s="6">
        <v>14277629</v>
      </c>
      <c r="G108" s="3">
        <v>14277629</v>
      </c>
      <c r="H108" s="7">
        <v>194135504479</v>
      </c>
      <c r="I108" s="8" t="s">
        <v>3367</v>
      </c>
      <c r="J108" s="4">
        <v>1</v>
      </c>
      <c r="K108" s="9">
        <v>11.51</v>
      </c>
      <c r="L108" s="9">
        <v>11.51</v>
      </c>
      <c r="M108" s="4" t="s">
        <v>3368</v>
      </c>
      <c r="N108" s="4" t="s">
        <v>2531</v>
      </c>
      <c r="O108" s="4" t="s">
        <v>2587</v>
      </c>
      <c r="P108" s="4" t="s">
        <v>2657</v>
      </c>
      <c r="Q108" s="4" t="s">
        <v>2658</v>
      </c>
      <c r="R108" s="4"/>
      <c r="S108" s="4"/>
      <c r="T108" s="4" t="str">
        <f>HYPERLINK("http://slimages.macys.com/is/image/MCY/19847030 ")</f>
        <v xml:space="preserve">http://slimages.macys.com/is/image/MCY/19847030 </v>
      </c>
    </row>
    <row r="109" spans="1:20" ht="15" customHeight="1" x14ac:dyDescent="0.25">
      <c r="A109" s="4" t="s">
        <v>2489</v>
      </c>
      <c r="B109" s="2" t="s">
        <v>2487</v>
      </c>
      <c r="C109" s="2" t="s">
        <v>2488</v>
      </c>
      <c r="D109" s="5" t="s">
        <v>2490</v>
      </c>
      <c r="E109" s="4" t="s">
        <v>2491</v>
      </c>
      <c r="F109" s="6">
        <v>14277629</v>
      </c>
      <c r="G109" s="3">
        <v>14277629</v>
      </c>
      <c r="H109" s="7">
        <v>193666743258</v>
      </c>
      <c r="I109" s="8" t="s">
        <v>1269</v>
      </c>
      <c r="J109" s="4">
        <v>1</v>
      </c>
      <c r="K109" s="9">
        <v>11.99</v>
      </c>
      <c r="L109" s="9">
        <v>11.99</v>
      </c>
      <c r="M109" s="4">
        <v>4217</v>
      </c>
      <c r="N109" s="4" t="s">
        <v>2518</v>
      </c>
      <c r="O109" s="4" t="s">
        <v>2555</v>
      </c>
      <c r="P109" s="4" t="s">
        <v>2666</v>
      </c>
      <c r="Q109" s="4" t="s">
        <v>2667</v>
      </c>
      <c r="R109" s="4" t="s">
        <v>2552</v>
      </c>
      <c r="S109" s="4" t="s">
        <v>3157</v>
      </c>
      <c r="T109" s="4" t="str">
        <f>HYPERLINK("http://slimages.macys.com/is/image/MCY/13050192 ")</f>
        <v xml:space="preserve">http://slimages.macys.com/is/image/MCY/13050192 </v>
      </c>
    </row>
    <row r="110" spans="1:20" ht="15" customHeight="1" x14ac:dyDescent="0.25">
      <c r="A110" s="4" t="s">
        <v>2489</v>
      </c>
      <c r="B110" s="2" t="s">
        <v>2487</v>
      </c>
      <c r="C110" s="2" t="s">
        <v>2488</v>
      </c>
      <c r="D110" s="5" t="s">
        <v>2490</v>
      </c>
      <c r="E110" s="4" t="s">
        <v>2491</v>
      </c>
      <c r="F110" s="6">
        <v>14277629</v>
      </c>
      <c r="G110" s="3">
        <v>14277629</v>
      </c>
      <c r="H110" s="7">
        <v>733004780578</v>
      </c>
      <c r="I110" s="8" t="s">
        <v>1929</v>
      </c>
      <c r="J110" s="4">
        <v>1</v>
      </c>
      <c r="K110" s="9">
        <v>11.99</v>
      </c>
      <c r="L110" s="9">
        <v>11.99</v>
      </c>
      <c r="M110" s="4" t="s">
        <v>3083</v>
      </c>
      <c r="N110" s="4" t="s">
        <v>2501</v>
      </c>
      <c r="O110" s="4" t="s">
        <v>2650</v>
      </c>
      <c r="P110" s="4" t="s">
        <v>2602</v>
      </c>
      <c r="Q110" s="4" t="s">
        <v>2528</v>
      </c>
      <c r="R110" s="4"/>
      <c r="S110" s="4"/>
      <c r="T110" s="4" t="str">
        <f>HYPERLINK("http://slimages.macys.com/is/image/MCY/1110249 ")</f>
        <v xml:space="preserve">http://slimages.macys.com/is/image/MCY/1110249 </v>
      </c>
    </row>
    <row r="111" spans="1:20" ht="15" customHeight="1" x14ac:dyDescent="0.25">
      <c r="A111" s="4" t="s">
        <v>2489</v>
      </c>
      <c r="B111" s="2" t="s">
        <v>2487</v>
      </c>
      <c r="C111" s="2" t="s">
        <v>2488</v>
      </c>
      <c r="D111" s="5" t="s">
        <v>2490</v>
      </c>
      <c r="E111" s="4" t="s">
        <v>2491</v>
      </c>
      <c r="F111" s="6">
        <v>14277629</v>
      </c>
      <c r="G111" s="3">
        <v>14277629</v>
      </c>
      <c r="H111" s="7">
        <v>193666794182</v>
      </c>
      <c r="I111" s="8" t="s">
        <v>1270</v>
      </c>
      <c r="J111" s="4">
        <v>1</v>
      </c>
      <c r="K111" s="9">
        <v>11.99</v>
      </c>
      <c r="L111" s="9">
        <v>11.99</v>
      </c>
      <c r="M111" s="4">
        <v>7122</v>
      </c>
      <c r="N111" s="4" t="s">
        <v>2561</v>
      </c>
      <c r="O111" s="4" t="s">
        <v>2498</v>
      </c>
      <c r="P111" s="4" t="s">
        <v>2666</v>
      </c>
      <c r="Q111" s="4" t="s">
        <v>2775</v>
      </c>
      <c r="R111" s="4"/>
      <c r="S111" s="4"/>
      <c r="T111" s="4"/>
    </row>
    <row r="112" spans="1:20" ht="15" customHeight="1" x14ac:dyDescent="0.25">
      <c r="A112" s="4" t="s">
        <v>2489</v>
      </c>
      <c r="B112" s="2" t="s">
        <v>2487</v>
      </c>
      <c r="C112" s="2" t="s">
        <v>2488</v>
      </c>
      <c r="D112" s="5" t="s">
        <v>2490</v>
      </c>
      <c r="E112" s="4" t="s">
        <v>2491</v>
      </c>
      <c r="F112" s="6">
        <v>14277629</v>
      </c>
      <c r="G112" s="3">
        <v>14277629</v>
      </c>
      <c r="H112" s="7">
        <v>193666794458</v>
      </c>
      <c r="I112" s="8" t="s">
        <v>1271</v>
      </c>
      <c r="J112" s="4">
        <v>2</v>
      </c>
      <c r="K112" s="9">
        <v>14.99</v>
      </c>
      <c r="L112" s="9">
        <v>29.98</v>
      </c>
      <c r="M112" s="4" t="s">
        <v>1272</v>
      </c>
      <c r="N112" s="4" t="s">
        <v>2561</v>
      </c>
      <c r="O112" s="4" t="s">
        <v>2555</v>
      </c>
      <c r="P112" s="4" t="s">
        <v>2666</v>
      </c>
      <c r="Q112" s="4" t="s">
        <v>2775</v>
      </c>
      <c r="R112" s="4"/>
      <c r="S112" s="4"/>
      <c r="T112" s="4"/>
    </row>
    <row r="113" spans="1:20" ht="15" customHeight="1" x14ac:dyDescent="0.25">
      <c r="A113" s="4" t="s">
        <v>2489</v>
      </c>
      <c r="B113" s="2" t="s">
        <v>2487</v>
      </c>
      <c r="C113" s="2" t="s">
        <v>2488</v>
      </c>
      <c r="D113" s="5" t="s">
        <v>2490</v>
      </c>
      <c r="E113" s="4" t="s">
        <v>2491</v>
      </c>
      <c r="F113" s="6">
        <v>14277629</v>
      </c>
      <c r="G113" s="3">
        <v>14277629</v>
      </c>
      <c r="H113" s="7">
        <v>193666744705</v>
      </c>
      <c r="I113" s="8" t="s">
        <v>1273</v>
      </c>
      <c r="J113" s="4">
        <v>1</v>
      </c>
      <c r="K113" s="9">
        <v>15.99</v>
      </c>
      <c r="L113" s="9">
        <v>15.99</v>
      </c>
      <c r="M113" s="4">
        <v>6763</v>
      </c>
      <c r="N113" s="4"/>
      <c r="O113" s="4" t="s">
        <v>2498</v>
      </c>
      <c r="P113" s="4" t="s">
        <v>2666</v>
      </c>
      <c r="Q113" s="4" t="s">
        <v>2775</v>
      </c>
      <c r="R113" s="4"/>
      <c r="S113" s="4"/>
      <c r="T113" s="4" t="str">
        <f>HYPERLINK("http://slimages.macys.com/is/image/MCY/19674914 ")</f>
        <v xml:space="preserve">http://slimages.macys.com/is/image/MCY/19674914 </v>
      </c>
    </row>
    <row r="114" spans="1:20" ht="15" customHeight="1" x14ac:dyDescent="0.25">
      <c r="A114" s="4" t="s">
        <v>2489</v>
      </c>
      <c r="B114" s="2" t="s">
        <v>2487</v>
      </c>
      <c r="C114" s="2" t="s">
        <v>2488</v>
      </c>
      <c r="D114" s="5" t="s">
        <v>2490</v>
      </c>
      <c r="E114" s="4" t="s">
        <v>2491</v>
      </c>
      <c r="F114" s="6">
        <v>14277629</v>
      </c>
      <c r="G114" s="3">
        <v>14277629</v>
      </c>
      <c r="H114" s="7">
        <v>733002398072</v>
      </c>
      <c r="I114" s="8" t="s">
        <v>1274</v>
      </c>
      <c r="J114" s="4">
        <v>1</v>
      </c>
      <c r="K114" s="9">
        <v>17.989999999999998</v>
      </c>
      <c r="L114" s="9">
        <v>17.989999999999998</v>
      </c>
      <c r="M114" s="4" t="s">
        <v>1275</v>
      </c>
      <c r="N114" s="4"/>
      <c r="O114" s="4">
        <v>5</v>
      </c>
      <c r="P114" s="4" t="s">
        <v>2602</v>
      </c>
      <c r="Q114" s="4" t="s">
        <v>2528</v>
      </c>
      <c r="R114" s="4"/>
      <c r="S114" s="4"/>
      <c r="T114" s="4" t="str">
        <f>HYPERLINK("http://slimages.macys.com/is/image/MCY/18705215 ")</f>
        <v xml:space="preserve">http://slimages.macys.com/is/image/MCY/18705215 </v>
      </c>
    </row>
    <row r="115" spans="1:20" ht="15" customHeight="1" x14ac:dyDescent="0.25">
      <c r="A115" s="4" t="s">
        <v>2489</v>
      </c>
      <c r="B115" s="2" t="s">
        <v>2487</v>
      </c>
      <c r="C115" s="2" t="s">
        <v>2488</v>
      </c>
      <c r="D115" s="5" t="s">
        <v>2490</v>
      </c>
      <c r="E115" s="4" t="s">
        <v>2491</v>
      </c>
      <c r="F115" s="6">
        <v>14277629</v>
      </c>
      <c r="G115" s="3">
        <v>14277629</v>
      </c>
      <c r="H115" s="7">
        <v>46094949313</v>
      </c>
      <c r="I115" s="8" t="s">
        <v>1276</v>
      </c>
      <c r="J115" s="4">
        <v>1</v>
      </c>
      <c r="K115" s="9">
        <v>4.99</v>
      </c>
      <c r="L115" s="9">
        <v>4.99</v>
      </c>
      <c r="M115" s="4">
        <v>4114</v>
      </c>
      <c r="N115" s="4" t="s">
        <v>2523</v>
      </c>
      <c r="O115" s="4" t="s">
        <v>2519</v>
      </c>
      <c r="P115" s="4" t="s">
        <v>2666</v>
      </c>
      <c r="Q115" s="4" t="s">
        <v>2667</v>
      </c>
      <c r="R115" s="4" t="s">
        <v>2552</v>
      </c>
      <c r="S115" s="4" t="s">
        <v>3157</v>
      </c>
      <c r="T115" s="4" t="str">
        <f>HYPERLINK("http://slimages.macys.com/is/image/MCY/13050244 ")</f>
        <v xml:space="preserve">http://slimages.macys.com/is/image/MCY/13050244 </v>
      </c>
    </row>
    <row r="116" spans="1:20" ht="15" customHeight="1" x14ac:dyDescent="0.25">
      <c r="A116" s="4" t="s">
        <v>2489</v>
      </c>
      <c r="B116" s="2" t="s">
        <v>2487</v>
      </c>
      <c r="C116" s="2" t="s">
        <v>2488</v>
      </c>
      <c r="D116" s="5" t="s">
        <v>2490</v>
      </c>
      <c r="E116" s="4" t="s">
        <v>2491</v>
      </c>
      <c r="F116" s="6">
        <v>14277629</v>
      </c>
      <c r="G116" s="3">
        <v>14277629</v>
      </c>
      <c r="H116" s="7">
        <v>196027059548</v>
      </c>
      <c r="I116" s="8" t="s">
        <v>3168</v>
      </c>
      <c r="J116" s="4">
        <v>1</v>
      </c>
      <c r="K116" s="9">
        <v>19.989999999999998</v>
      </c>
      <c r="L116" s="9">
        <v>19.989999999999998</v>
      </c>
      <c r="M116" s="4" t="s">
        <v>3169</v>
      </c>
      <c r="N116" s="4" t="s">
        <v>2544</v>
      </c>
      <c r="O116" s="4">
        <v>4</v>
      </c>
      <c r="P116" s="4" t="s">
        <v>2569</v>
      </c>
      <c r="Q116" s="4" t="s">
        <v>2590</v>
      </c>
      <c r="R116" s="4"/>
      <c r="S116" s="4"/>
      <c r="T116" s="4" t="str">
        <f>HYPERLINK("http://slimages.macys.com/is/image/MCY/20662533 ")</f>
        <v xml:space="preserve">http://slimages.macys.com/is/image/MCY/20662533 </v>
      </c>
    </row>
    <row r="117" spans="1:20" ht="15" customHeight="1" x14ac:dyDescent="0.25">
      <c r="A117" s="4" t="s">
        <v>2489</v>
      </c>
      <c r="B117" s="2" t="s">
        <v>2487</v>
      </c>
      <c r="C117" s="2" t="s">
        <v>2488</v>
      </c>
      <c r="D117" s="5" t="s">
        <v>2490</v>
      </c>
      <c r="E117" s="4" t="s">
        <v>2491</v>
      </c>
      <c r="F117" s="6">
        <v>14277629</v>
      </c>
      <c r="G117" s="3">
        <v>14277629</v>
      </c>
      <c r="H117" s="7">
        <v>194257621610</v>
      </c>
      <c r="I117" s="8" t="s">
        <v>1277</v>
      </c>
      <c r="J117" s="4">
        <v>1</v>
      </c>
      <c r="K117" s="9">
        <v>16.989999999999998</v>
      </c>
      <c r="L117" s="9">
        <v>16.989999999999998</v>
      </c>
      <c r="M117" s="4" t="s">
        <v>2712</v>
      </c>
      <c r="N117" s="4" t="s">
        <v>2523</v>
      </c>
      <c r="O117" s="4" t="s">
        <v>2524</v>
      </c>
      <c r="P117" s="4" t="s">
        <v>2499</v>
      </c>
      <c r="Q117" s="4" t="s">
        <v>2525</v>
      </c>
      <c r="R117" s="4"/>
      <c r="S117" s="4"/>
      <c r="T117" s="4" t="str">
        <f>HYPERLINK("http://slimages.macys.com/is/image/MCY/20417769 ")</f>
        <v xml:space="preserve">http://slimages.macys.com/is/image/MCY/20417769 </v>
      </c>
    </row>
    <row r="118" spans="1:20" ht="15" customHeight="1" x14ac:dyDescent="0.25">
      <c r="A118" s="4" t="s">
        <v>2489</v>
      </c>
      <c r="B118" s="2" t="s">
        <v>2487</v>
      </c>
      <c r="C118" s="2" t="s">
        <v>2488</v>
      </c>
      <c r="D118" s="5" t="s">
        <v>2490</v>
      </c>
      <c r="E118" s="4" t="s">
        <v>2491</v>
      </c>
      <c r="F118" s="6">
        <v>14277629</v>
      </c>
      <c r="G118" s="3">
        <v>14277629</v>
      </c>
      <c r="H118" s="7">
        <v>807421438265</v>
      </c>
      <c r="I118" s="8" t="s">
        <v>1278</v>
      </c>
      <c r="J118" s="4">
        <v>1</v>
      </c>
      <c r="K118" s="9">
        <v>40</v>
      </c>
      <c r="L118" s="9">
        <v>40</v>
      </c>
      <c r="M118" s="4" t="s">
        <v>1279</v>
      </c>
      <c r="N118" s="4" t="s">
        <v>2497</v>
      </c>
      <c r="O118" s="4" t="s">
        <v>2498</v>
      </c>
      <c r="P118" s="4" t="s">
        <v>2725</v>
      </c>
      <c r="Q118" s="4" t="s">
        <v>1280</v>
      </c>
      <c r="R118" s="4"/>
      <c r="S118" s="4"/>
      <c r="T118" s="4" t="str">
        <f>HYPERLINK("http://slimages.macys.com/is/image/MCY/21541215 ")</f>
        <v xml:space="preserve">http://slimages.macys.com/is/image/MCY/21541215 </v>
      </c>
    </row>
    <row r="119" spans="1:20" ht="15" customHeight="1" x14ac:dyDescent="0.25">
      <c r="A119" s="4" t="s">
        <v>2489</v>
      </c>
      <c r="B119" s="2" t="s">
        <v>2487</v>
      </c>
      <c r="C119" s="2" t="s">
        <v>2488</v>
      </c>
      <c r="D119" s="5" t="s">
        <v>2490</v>
      </c>
      <c r="E119" s="4" t="s">
        <v>2491</v>
      </c>
      <c r="F119" s="6">
        <v>14277629</v>
      </c>
      <c r="G119" s="3">
        <v>14277629</v>
      </c>
      <c r="H119" s="7">
        <v>733003924348</v>
      </c>
      <c r="I119" s="8" t="s">
        <v>3202</v>
      </c>
      <c r="J119" s="4">
        <v>1</v>
      </c>
      <c r="K119" s="9">
        <v>6.99</v>
      </c>
      <c r="L119" s="9">
        <v>6.99</v>
      </c>
      <c r="M119" s="4" t="s">
        <v>2786</v>
      </c>
      <c r="N119" s="4" t="s">
        <v>2600</v>
      </c>
      <c r="O119" s="4" t="s">
        <v>2601</v>
      </c>
      <c r="P119" s="4" t="s">
        <v>2503</v>
      </c>
      <c r="Q119" s="4" t="s">
        <v>2504</v>
      </c>
      <c r="R119" s="4"/>
      <c r="S119" s="4"/>
      <c r="T119" s="4" t="str">
        <f>HYPERLINK("http://slimages.macys.com/is/image/MCY/19507928 ")</f>
        <v xml:space="preserve">http://slimages.macys.com/is/image/MCY/19507928 </v>
      </c>
    </row>
    <row r="120" spans="1:20" ht="15" customHeight="1" x14ac:dyDescent="0.25">
      <c r="A120" s="4" t="s">
        <v>2489</v>
      </c>
      <c r="B120" s="2" t="s">
        <v>2487</v>
      </c>
      <c r="C120" s="2" t="s">
        <v>2488</v>
      </c>
      <c r="D120" s="5" t="s">
        <v>2490</v>
      </c>
      <c r="E120" s="4" t="s">
        <v>2491</v>
      </c>
      <c r="F120" s="6">
        <v>14277629</v>
      </c>
      <c r="G120" s="3">
        <v>14277629</v>
      </c>
      <c r="H120" s="7">
        <v>492030649227</v>
      </c>
      <c r="I120" s="8" t="s">
        <v>1281</v>
      </c>
      <c r="J120" s="4">
        <v>5</v>
      </c>
      <c r="K120" s="9">
        <v>7.5</v>
      </c>
      <c r="L120" s="9">
        <v>37.5</v>
      </c>
      <c r="M120" s="4" t="s">
        <v>1281</v>
      </c>
      <c r="N120" s="4" t="s">
        <v>2769</v>
      </c>
      <c r="O120" s="4" t="s">
        <v>2669</v>
      </c>
      <c r="P120" s="4" t="s">
        <v>2494</v>
      </c>
      <c r="Q120" s="4" t="s">
        <v>2495</v>
      </c>
      <c r="R120" s="4"/>
      <c r="S120" s="4"/>
      <c r="T120" s="4"/>
    </row>
    <row r="121" spans="1:20" ht="15" customHeight="1" x14ac:dyDescent="0.25">
      <c r="A121" s="4" t="s">
        <v>2489</v>
      </c>
      <c r="B121" s="2" t="s">
        <v>2487</v>
      </c>
      <c r="C121" s="2" t="s">
        <v>2488</v>
      </c>
      <c r="D121" s="5" t="s">
        <v>2490</v>
      </c>
      <c r="E121" s="4" t="s">
        <v>2491</v>
      </c>
      <c r="F121" s="6">
        <v>14277629</v>
      </c>
      <c r="G121" s="3">
        <v>14277629</v>
      </c>
      <c r="H121" s="7">
        <v>762120086301</v>
      </c>
      <c r="I121" s="8" t="s">
        <v>1282</v>
      </c>
      <c r="J121" s="4">
        <v>1</v>
      </c>
      <c r="K121" s="9">
        <v>7.99</v>
      </c>
      <c r="L121" s="9">
        <v>7.99</v>
      </c>
      <c r="M121" s="4" t="s">
        <v>2030</v>
      </c>
      <c r="N121" s="4" t="s">
        <v>2501</v>
      </c>
      <c r="O121" s="4">
        <v>6</v>
      </c>
      <c r="P121" s="4" t="s">
        <v>2602</v>
      </c>
      <c r="Q121" s="4" t="s">
        <v>2528</v>
      </c>
      <c r="R121" s="4"/>
      <c r="S121" s="4"/>
      <c r="T121" s="4" t="str">
        <f>HYPERLINK("http://slimages.macys.com/is/image/MCY/20691839 ")</f>
        <v xml:space="preserve">http://slimages.macys.com/is/image/MCY/20691839 </v>
      </c>
    </row>
    <row r="122" spans="1:20" ht="15" customHeight="1" x14ac:dyDescent="0.25">
      <c r="A122" s="4" t="s">
        <v>2489</v>
      </c>
      <c r="B122" s="2" t="s">
        <v>2487</v>
      </c>
      <c r="C122" s="2" t="s">
        <v>2488</v>
      </c>
      <c r="D122" s="5" t="s">
        <v>2490</v>
      </c>
      <c r="E122" s="4" t="s">
        <v>2491</v>
      </c>
      <c r="F122" s="6">
        <v>14277629</v>
      </c>
      <c r="G122" s="3">
        <v>14277629</v>
      </c>
      <c r="H122" s="7">
        <v>762120086424</v>
      </c>
      <c r="I122" s="8" t="s">
        <v>1829</v>
      </c>
      <c r="J122" s="4">
        <v>2</v>
      </c>
      <c r="K122" s="9">
        <v>7.99</v>
      </c>
      <c r="L122" s="9">
        <v>15.98</v>
      </c>
      <c r="M122" s="4" t="s">
        <v>1776</v>
      </c>
      <c r="N122" s="4" t="s">
        <v>2638</v>
      </c>
      <c r="O122" s="4" t="s">
        <v>2629</v>
      </c>
      <c r="P122" s="4" t="s">
        <v>2602</v>
      </c>
      <c r="Q122" s="4" t="s">
        <v>2528</v>
      </c>
      <c r="R122" s="4"/>
      <c r="S122" s="4"/>
      <c r="T122" s="4" t="str">
        <f>HYPERLINK("http://slimages.macys.com/is/image/MCY/1079693 ")</f>
        <v xml:space="preserve">http://slimages.macys.com/is/image/MCY/1079693 </v>
      </c>
    </row>
    <row r="123" spans="1:20" ht="15" customHeight="1" x14ac:dyDescent="0.25">
      <c r="A123" s="4" t="s">
        <v>2489</v>
      </c>
      <c r="B123" s="2" t="s">
        <v>2487</v>
      </c>
      <c r="C123" s="2" t="s">
        <v>2488</v>
      </c>
      <c r="D123" s="5" t="s">
        <v>2490</v>
      </c>
      <c r="E123" s="4" t="s">
        <v>2491</v>
      </c>
      <c r="F123" s="6">
        <v>14277629</v>
      </c>
      <c r="G123" s="3">
        <v>14277629</v>
      </c>
      <c r="H123" s="7">
        <v>762120086233</v>
      </c>
      <c r="I123" s="8" t="s">
        <v>3142</v>
      </c>
      <c r="J123" s="4">
        <v>1</v>
      </c>
      <c r="K123" s="9">
        <v>7.99</v>
      </c>
      <c r="L123" s="9">
        <v>7.99</v>
      </c>
      <c r="M123" s="4" t="s">
        <v>2806</v>
      </c>
      <c r="N123" s="4" t="s">
        <v>2530</v>
      </c>
      <c r="O123" s="4" t="s">
        <v>2628</v>
      </c>
      <c r="P123" s="4" t="s">
        <v>2602</v>
      </c>
      <c r="Q123" s="4" t="s">
        <v>2528</v>
      </c>
      <c r="R123" s="4"/>
      <c r="S123" s="4"/>
      <c r="T123" s="4" t="str">
        <f>HYPERLINK("http://slimages.macys.com/is/image/MCY/1086506 ")</f>
        <v xml:space="preserve">http://slimages.macys.com/is/image/MCY/1086506 </v>
      </c>
    </row>
    <row r="124" spans="1:20" ht="15" customHeight="1" x14ac:dyDescent="0.25">
      <c r="A124" s="4" t="s">
        <v>2489</v>
      </c>
      <c r="B124" s="2" t="s">
        <v>2487</v>
      </c>
      <c r="C124" s="2" t="s">
        <v>2488</v>
      </c>
      <c r="D124" s="5" t="s">
        <v>2490</v>
      </c>
      <c r="E124" s="4" t="s">
        <v>2491</v>
      </c>
      <c r="F124" s="6">
        <v>14277629</v>
      </c>
      <c r="G124" s="3">
        <v>14277629</v>
      </c>
      <c r="H124" s="7">
        <v>733003928605</v>
      </c>
      <c r="I124" s="8" t="s">
        <v>1283</v>
      </c>
      <c r="J124" s="4">
        <v>1</v>
      </c>
      <c r="K124" s="9">
        <v>7.99</v>
      </c>
      <c r="L124" s="9">
        <v>7.99</v>
      </c>
      <c r="M124" s="4" t="s">
        <v>3026</v>
      </c>
      <c r="N124" s="4" t="s">
        <v>2531</v>
      </c>
      <c r="O124" s="4" t="s">
        <v>2628</v>
      </c>
      <c r="P124" s="4" t="s">
        <v>2503</v>
      </c>
      <c r="Q124" s="4" t="s">
        <v>2504</v>
      </c>
      <c r="R124" s="4"/>
      <c r="S124" s="4"/>
      <c r="T124" s="4" t="str">
        <f>HYPERLINK("http://slimages.macys.com/is/image/MCY/19508081 ")</f>
        <v xml:space="preserve">http://slimages.macys.com/is/image/MCY/19508081 </v>
      </c>
    </row>
    <row r="125" spans="1:20" ht="15" customHeight="1" x14ac:dyDescent="0.25">
      <c r="A125" s="4" t="s">
        <v>2489</v>
      </c>
      <c r="B125" s="2" t="s">
        <v>2487</v>
      </c>
      <c r="C125" s="2" t="s">
        <v>2488</v>
      </c>
      <c r="D125" s="5" t="s">
        <v>2490</v>
      </c>
      <c r="E125" s="4" t="s">
        <v>2491</v>
      </c>
      <c r="F125" s="6">
        <v>14277629</v>
      </c>
      <c r="G125" s="3">
        <v>14277629</v>
      </c>
      <c r="H125" s="7">
        <v>733003928612</v>
      </c>
      <c r="I125" s="8" t="s">
        <v>1284</v>
      </c>
      <c r="J125" s="4">
        <v>1</v>
      </c>
      <c r="K125" s="9">
        <v>7.99</v>
      </c>
      <c r="L125" s="9">
        <v>7.99</v>
      </c>
      <c r="M125" s="4" t="s">
        <v>1242</v>
      </c>
      <c r="N125" s="4" t="s">
        <v>2600</v>
      </c>
      <c r="O125" s="4" t="s">
        <v>2650</v>
      </c>
      <c r="P125" s="4" t="s">
        <v>2503</v>
      </c>
      <c r="Q125" s="4" t="s">
        <v>2504</v>
      </c>
      <c r="R125" s="4"/>
      <c r="S125" s="4"/>
      <c r="T125" s="4" t="str">
        <f>HYPERLINK("http://slimages.macys.com/is/image/MCY/19520973 ")</f>
        <v xml:space="preserve">http://slimages.macys.com/is/image/MCY/19520973 </v>
      </c>
    </row>
    <row r="126" spans="1:20" ht="15" customHeight="1" x14ac:dyDescent="0.25">
      <c r="A126" s="4" t="s">
        <v>2489</v>
      </c>
      <c r="B126" s="2" t="s">
        <v>2487</v>
      </c>
      <c r="C126" s="2" t="s">
        <v>2488</v>
      </c>
      <c r="D126" s="5" t="s">
        <v>2490</v>
      </c>
      <c r="E126" s="4" t="s">
        <v>2491</v>
      </c>
      <c r="F126" s="6">
        <v>14277629</v>
      </c>
      <c r="G126" s="3">
        <v>14277629</v>
      </c>
      <c r="H126" s="7">
        <v>762120120159</v>
      </c>
      <c r="I126" s="8" t="s">
        <v>1285</v>
      </c>
      <c r="J126" s="4">
        <v>1</v>
      </c>
      <c r="K126" s="9">
        <v>6.99</v>
      </c>
      <c r="L126" s="9">
        <v>6.99</v>
      </c>
      <c r="M126" s="4" t="s">
        <v>3378</v>
      </c>
      <c r="N126" s="4" t="s">
        <v>2497</v>
      </c>
      <c r="O126" s="4" t="s">
        <v>2493</v>
      </c>
      <c r="P126" s="4" t="s">
        <v>2503</v>
      </c>
      <c r="Q126" s="4" t="s">
        <v>2504</v>
      </c>
      <c r="R126" s="4"/>
      <c r="S126" s="4"/>
      <c r="T126" s="4" t="str">
        <f>HYPERLINK("http://slimages.macys.com/is/image/MCY/20386104 ")</f>
        <v xml:space="preserve">http://slimages.macys.com/is/image/MCY/20386104 </v>
      </c>
    </row>
    <row r="127" spans="1:20" ht="15" customHeight="1" x14ac:dyDescent="0.25">
      <c r="A127" s="4" t="s">
        <v>2489</v>
      </c>
      <c r="B127" s="2" t="s">
        <v>2487</v>
      </c>
      <c r="C127" s="2" t="s">
        <v>2488</v>
      </c>
      <c r="D127" s="5" t="s">
        <v>2490</v>
      </c>
      <c r="E127" s="4" t="s">
        <v>2491</v>
      </c>
      <c r="F127" s="6">
        <v>14277629</v>
      </c>
      <c r="G127" s="3">
        <v>14277629</v>
      </c>
      <c r="H127" s="7">
        <v>762120123822</v>
      </c>
      <c r="I127" s="8" t="s">
        <v>1286</v>
      </c>
      <c r="J127" s="4">
        <v>1</v>
      </c>
      <c r="K127" s="9">
        <v>7.99</v>
      </c>
      <c r="L127" s="9">
        <v>7.99</v>
      </c>
      <c r="M127" s="4" t="s">
        <v>3276</v>
      </c>
      <c r="N127" s="4" t="s">
        <v>2497</v>
      </c>
      <c r="O127" s="4" t="s">
        <v>2628</v>
      </c>
      <c r="P127" s="4" t="s">
        <v>2503</v>
      </c>
      <c r="Q127" s="4" t="s">
        <v>2504</v>
      </c>
      <c r="R127" s="4"/>
      <c r="S127" s="4"/>
      <c r="T127" s="4" t="str">
        <f>HYPERLINK("http://slimages.macys.com/is/image/MCY/20386104 ")</f>
        <v xml:space="preserve">http://slimages.macys.com/is/image/MCY/20386104 </v>
      </c>
    </row>
    <row r="128" spans="1:20" ht="15" customHeight="1" x14ac:dyDescent="0.25">
      <c r="A128" s="4" t="s">
        <v>2489</v>
      </c>
      <c r="B128" s="2" t="s">
        <v>2487</v>
      </c>
      <c r="C128" s="2" t="s">
        <v>2488</v>
      </c>
      <c r="D128" s="5" t="s">
        <v>2490</v>
      </c>
      <c r="E128" s="4" t="s">
        <v>2491</v>
      </c>
      <c r="F128" s="6">
        <v>14277629</v>
      </c>
      <c r="G128" s="3">
        <v>14277629</v>
      </c>
      <c r="H128" s="7">
        <v>733003616403</v>
      </c>
      <c r="I128" s="8" t="s">
        <v>1287</v>
      </c>
      <c r="J128" s="4">
        <v>1</v>
      </c>
      <c r="K128" s="9">
        <v>7.99</v>
      </c>
      <c r="L128" s="9">
        <v>7.99</v>
      </c>
      <c r="M128" s="4" t="s">
        <v>2757</v>
      </c>
      <c r="N128" s="4" t="s">
        <v>2561</v>
      </c>
      <c r="O128" s="4" t="s">
        <v>2629</v>
      </c>
      <c r="P128" s="4" t="s">
        <v>2503</v>
      </c>
      <c r="Q128" s="4" t="s">
        <v>2504</v>
      </c>
      <c r="R128" s="4"/>
      <c r="S128" s="4"/>
      <c r="T128" s="4" t="str">
        <f>HYPERLINK("http://slimages.macys.com/is/image/MCY/8695857 ")</f>
        <v xml:space="preserve">http://slimages.macys.com/is/image/MCY/8695857 </v>
      </c>
    </row>
    <row r="129" spans="1:20" ht="15" customHeight="1" x14ac:dyDescent="0.25">
      <c r="A129" s="4" t="s">
        <v>2489</v>
      </c>
      <c r="B129" s="2" t="s">
        <v>2487</v>
      </c>
      <c r="C129" s="2" t="s">
        <v>2488</v>
      </c>
      <c r="D129" s="5" t="s">
        <v>2490</v>
      </c>
      <c r="E129" s="4" t="s">
        <v>2491</v>
      </c>
      <c r="F129" s="6">
        <v>14277629</v>
      </c>
      <c r="G129" s="3">
        <v>14277629</v>
      </c>
      <c r="H129" s="7">
        <v>762120017060</v>
      </c>
      <c r="I129" s="8" t="s">
        <v>2034</v>
      </c>
      <c r="J129" s="4">
        <v>1</v>
      </c>
      <c r="K129" s="9">
        <v>7.99</v>
      </c>
      <c r="L129" s="9">
        <v>7.99</v>
      </c>
      <c r="M129" s="4" t="s">
        <v>3439</v>
      </c>
      <c r="N129" s="4" t="s">
        <v>2565</v>
      </c>
      <c r="O129" s="4" t="s">
        <v>2650</v>
      </c>
      <c r="P129" s="4" t="s">
        <v>2503</v>
      </c>
      <c r="Q129" s="4" t="s">
        <v>2504</v>
      </c>
      <c r="R129" s="4"/>
      <c r="S129" s="4"/>
      <c r="T129" s="4" t="str">
        <f>HYPERLINK("http://slimages.macys.com/is/image/MCY/20436495 ")</f>
        <v xml:space="preserve">http://slimages.macys.com/is/image/MCY/20436495 </v>
      </c>
    </row>
    <row r="130" spans="1:20" ht="15" customHeight="1" x14ac:dyDescent="0.25">
      <c r="A130" s="4" t="s">
        <v>2489</v>
      </c>
      <c r="B130" s="2" t="s">
        <v>2487</v>
      </c>
      <c r="C130" s="2" t="s">
        <v>2488</v>
      </c>
      <c r="D130" s="5" t="s">
        <v>2490</v>
      </c>
      <c r="E130" s="4" t="s">
        <v>2491</v>
      </c>
      <c r="F130" s="6">
        <v>14277629</v>
      </c>
      <c r="G130" s="3">
        <v>14277629</v>
      </c>
      <c r="H130" s="7">
        <v>733004780196</v>
      </c>
      <c r="I130" s="8" t="s">
        <v>3148</v>
      </c>
      <c r="J130" s="4">
        <v>1</v>
      </c>
      <c r="K130" s="9">
        <v>7.99</v>
      </c>
      <c r="L130" s="9">
        <v>7.99</v>
      </c>
      <c r="M130" s="4" t="s">
        <v>3149</v>
      </c>
      <c r="N130" s="4" t="s">
        <v>2638</v>
      </c>
      <c r="O130" s="4" t="s">
        <v>2650</v>
      </c>
      <c r="P130" s="4" t="s">
        <v>2602</v>
      </c>
      <c r="Q130" s="4" t="s">
        <v>2528</v>
      </c>
      <c r="R130" s="4"/>
      <c r="S130" s="4"/>
      <c r="T130" s="4" t="str">
        <f>HYPERLINK("http://slimages.macys.com/is/image/MCY/20450168 ")</f>
        <v xml:space="preserve">http://slimages.macys.com/is/image/MCY/20450168 </v>
      </c>
    </row>
    <row r="131" spans="1:20" ht="15" customHeight="1" x14ac:dyDescent="0.25">
      <c r="A131" s="4" t="s">
        <v>2489</v>
      </c>
      <c r="B131" s="2" t="s">
        <v>2487</v>
      </c>
      <c r="C131" s="2" t="s">
        <v>2488</v>
      </c>
      <c r="D131" s="5" t="s">
        <v>2490</v>
      </c>
      <c r="E131" s="4" t="s">
        <v>2491</v>
      </c>
      <c r="F131" s="6">
        <v>14277629</v>
      </c>
      <c r="G131" s="3">
        <v>14277629</v>
      </c>
      <c r="H131" s="7">
        <v>762120020268</v>
      </c>
      <c r="I131" s="8" t="s">
        <v>2186</v>
      </c>
      <c r="J131" s="4">
        <v>1</v>
      </c>
      <c r="K131" s="9">
        <v>6.99</v>
      </c>
      <c r="L131" s="9">
        <v>6.99</v>
      </c>
      <c r="M131" s="4" t="s">
        <v>3235</v>
      </c>
      <c r="N131" s="4" t="s">
        <v>2565</v>
      </c>
      <c r="O131" s="4" t="s">
        <v>2566</v>
      </c>
      <c r="P131" s="4" t="s">
        <v>2503</v>
      </c>
      <c r="Q131" s="4" t="s">
        <v>2504</v>
      </c>
      <c r="R131" s="4"/>
      <c r="S131" s="4"/>
      <c r="T131" s="4" t="str">
        <f>HYPERLINK("http://slimages.macys.com/is/image/MCY/20436495 ")</f>
        <v xml:space="preserve">http://slimages.macys.com/is/image/MCY/20436495 </v>
      </c>
    </row>
    <row r="132" spans="1:20" ht="15" customHeight="1" x14ac:dyDescent="0.25">
      <c r="A132" s="4" t="s">
        <v>2489</v>
      </c>
      <c r="B132" s="2" t="s">
        <v>2487</v>
      </c>
      <c r="C132" s="2" t="s">
        <v>2488</v>
      </c>
      <c r="D132" s="5" t="s">
        <v>2490</v>
      </c>
      <c r="E132" s="4" t="s">
        <v>2491</v>
      </c>
      <c r="F132" s="6">
        <v>14277629</v>
      </c>
      <c r="G132" s="3">
        <v>14277629</v>
      </c>
      <c r="H132" s="7">
        <v>194870454770</v>
      </c>
      <c r="I132" s="8" t="s">
        <v>1288</v>
      </c>
      <c r="J132" s="4">
        <v>1</v>
      </c>
      <c r="K132" s="9">
        <v>24.99</v>
      </c>
      <c r="L132" s="9">
        <v>24.99</v>
      </c>
      <c r="M132" s="4" t="s">
        <v>1289</v>
      </c>
      <c r="N132" s="4" t="s">
        <v>2567</v>
      </c>
      <c r="O132" s="4">
        <v>7</v>
      </c>
      <c r="P132" s="4" t="s">
        <v>2499</v>
      </c>
      <c r="Q132" s="4" t="s">
        <v>2663</v>
      </c>
      <c r="R132" s="4"/>
      <c r="S132" s="4"/>
      <c r="T132" s="4" t="str">
        <f>HYPERLINK("http://slimages.macys.com/is/image/MCY/19578840 ")</f>
        <v xml:space="preserve">http://slimages.macys.com/is/image/MCY/19578840 </v>
      </c>
    </row>
    <row r="133" spans="1:20" ht="15" customHeight="1" x14ac:dyDescent="0.25">
      <c r="A133" s="4" t="s">
        <v>2489</v>
      </c>
      <c r="B133" s="2" t="s">
        <v>2487</v>
      </c>
      <c r="C133" s="2" t="s">
        <v>2488</v>
      </c>
      <c r="D133" s="5" t="s">
        <v>2490</v>
      </c>
      <c r="E133" s="4" t="s">
        <v>2491</v>
      </c>
      <c r="F133" s="6">
        <v>14277629</v>
      </c>
      <c r="G133" s="3">
        <v>14277629</v>
      </c>
      <c r="H133" s="7">
        <v>742728903088</v>
      </c>
      <c r="I133" s="8" t="s">
        <v>1290</v>
      </c>
      <c r="J133" s="4">
        <v>5</v>
      </c>
      <c r="K133" s="9">
        <v>26.67</v>
      </c>
      <c r="L133" s="9">
        <v>133.35</v>
      </c>
      <c r="M133" s="4" t="s">
        <v>1291</v>
      </c>
      <c r="N133" s="4" t="s">
        <v>2548</v>
      </c>
      <c r="O133" s="4" t="s">
        <v>2555</v>
      </c>
      <c r="P133" s="4" t="s">
        <v>2556</v>
      </c>
      <c r="Q133" s="4" t="s">
        <v>2645</v>
      </c>
      <c r="R133" s="4"/>
      <c r="S133" s="4"/>
      <c r="T133" s="4" t="str">
        <f>HYPERLINK("http://slimages.macys.com/is/image/MCY/20593864 ")</f>
        <v xml:space="preserve">http://slimages.macys.com/is/image/MCY/20593864 </v>
      </c>
    </row>
    <row r="134" spans="1:20" ht="15" customHeight="1" x14ac:dyDescent="0.25">
      <c r="A134" s="4" t="s">
        <v>2489</v>
      </c>
      <c r="B134" s="2" t="s">
        <v>2487</v>
      </c>
      <c r="C134" s="2" t="s">
        <v>2488</v>
      </c>
      <c r="D134" s="5" t="s">
        <v>2490</v>
      </c>
      <c r="E134" s="4" t="s">
        <v>2491</v>
      </c>
      <c r="F134" s="6">
        <v>14277629</v>
      </c>
      <c r="G134" s="3">
        <v>14277629</v>
      </c>
      <c r="H134" s="7">
        <v>194257263742</v>
      </c>
      <c r="I134" s="8" t="s">
        <v>1292</v>
      </c>
      <c r="J134" s="4">
        <v>1</v>
      </c>
      <c r="K134" s="9">
        <v>6.99</v>
      </c>
      <c r="L134" s="9">
        <v>6.99</v>
      </c>
      <c r="M134" s="4" t="s">
        <v>1789</v>
      </c>
      <c r="N134" s="4" t="s">
        <v>2497</v>
      </c>
      <c r="O134" s="4">
        <v>7</v>
      </c>
      <c r="P134" s="4" t="s">
        <v>2499</v>
      </c>
      <c r="Q134" s="4" t="s">
        <v>2525</v>
      </c>
      <c r="R134" s="4"/>
      <c r="S134" s="4"/>
      <c r="T134" s="4" t="str">
        <f>HYPERLINK("http://slimages.macys.com/is/image/MCY/18664022 ")</f>
        <v xml:space="preserve">http://slimages.macys.com/is/image/MCY/18664022 </v>
      </c>
    </row>
    <row r="135" spans="1:20" ht="15" customHeight="1" x14ac:dyDescent="0.25">
      <c r="A135" s="4" t="s">
        <v>2489</v>
      </c>
      <c r="B135" s="2" t="s">
        <v>2487</v>
      </c>
      <c r="C135" s="2" t="s">
        <v>2488</v>
      </c>
      <c r="D135" s="5" t="s">
        <v>2490</v>
      </c>
      <c r="E135" s="4" t="s">
        <v>2491</v>
      </c>
      <c r="F135" s="6">
        <v>14277629</v>
      </c>
      <c r="G135" s="3">
        <v>14277629</v>
      </c>
      <c r="H135" s="7">
        <v>194257388124</v>
      </c>
      <c r="I135" s="8" t="s">
        <v>1293</v>
      </c>
      <c r="J135" s="4">
        <v>1</v>
      </c>
      <c r="K135" s="9">
        <v>7.99</v>
      </c>
      <c r="L135" s="9">
        <v>7.99</v>
      </c>
      <c r="M135" s="4" t="s">
        <v>2496</v>
      </c>
      <c r="N135" s="4" t="s">
        <v>2501</v>
      </c>
      <c r="O135" s="4" t="s">
        <v>2498</v>
      </c>
      <c r="P135" s="4" t="s">
        <v>2499</v>
      </c>
      <c r="Q135" s="4" t="s">
        <v>2500</v>
      </c>
      <c r="R135" s="4"/>
      <c r="S135" s="4"/>
      <c r="T135" s="4" t="str">
        <f>HYPERLINK("http://slimages.macys.com/is/image/MCY/19933400 ")</f>
        <v xml:space="preserve">http://slimages.macys.com/is/image/MCY/19933400 </v>
      </c>
    </row>
    <row r="136" spans="1:20" ht="15" customHeight="1" x14ac:dyDescent="0.25">
      <c r="A136" s="4" t="s">
        <v>2489</v>
      </c>
      <c r="B136" s="2" t="s">
        <v>2487</v>
      </c>
      <c r="C136" s="2" t="s">
        <v>2488</v>
      </c>
      <c r="D136" s="5" t="s">
        <v>2490</v>
      </c>
      <c r="E136" s="4" t="s">
        <v>2491</v>
      </c>
      <c r="F136" s="6">
        <v>14277629</v>
      </c>
      <c r="G136" s="3">
        <v>14277629</v>
      </c>
      <c r="H136" s="7">
        <v>194931204863</v>
      </c>
      <c r="I136" s="8" t="s">
        <v>1874</v>
      </c>
      <c r="J136" s="4">
        <v>4</v>
      </c>
      <c r="K136" s="9">
        <v>21.6</v>
      </c>
      <c r="L136" s="9">
        <v>86.4</v>
      </c>
      <c r="M136" s="4" t="s">
        <v>2963</v>
      </c>
      <c r="N136" s="4" t="s">
        <v>2739</v>
      </c>
      <c r="O136" s="4"/>
      <c r="P136" s="4" t="s">
        <v>2622</v>
      </c>
      <c r="Q136" s="4" t="s">
        <v>2643</v>
      </c>
      <c r="R136" s="4"/>
      <c r="S136" s="4"/>
      <c r="T136" s="4" t="str">
        <f>HYPERLINK("http://slimages.macys.com/is/image/MCY/19992480 ")</f>
        <v xml:space="preserve">http://slimages.macys.com/is/image/MCY/19992480 </v>
      </c>
    </row>
    <row r="137" spans="1:20" ht="15" customHeight="1" x14ac:dyDescent="0.25">
      <c r="A137" s="4" t="s">
        <v>2489</v>
      </c>
      <c r="B137" s="2" t="s">
        <v>2487</v>
      </c>
      <c r="C137" s="2" t="s">
        <v>2488</v>
      </c>
      <c r="D137" s="5" t="s">
        <v>2490</v>
      </c>
      <c r="E137" s="4" t="s">
        <v>2491</v>
      </c>
      <c r="F137" s="6">
        <v>14277629</v>
      </c>
      <c r="G137" s="3">
        <v>14277629</v>
      </c>
      <c r="H137" s="7">
        <v>80538129893</v>
      </c>
      <c r="I137" s="8" t="s">
        <v>1294</v>
      </c>
      <c r="J137" s="4">
        <v>1</v>
      </c>
      <c r="K137" s="9">
        <v>12.99</v>
      </c>
      <c r="L137" s="9">
        <v>12.99</v>
      </c>
      <c r="M137" s="4" t="s">
        <v>2987</v>
      </c>
      <c r="N137" s="4" t="s">
        <v>2567</v>
      </c>
      <c r="O137" s="4" t="s">
        <v>2930</v>
      </c>
      <c r="P137" s="4" t="s">
        <v>2666</v>
      </c>
      <c r="Q137" s="4" t="s">
        <v>2778</v>
      </c>
      <c r="R137" s="4"/>
      <c r="S137" s="4"/>
      <c r="T137" s="4" t="str">
        <f>HYPERLINK("http://slimages.macys.com/is/image/MCY/20052304 ")</f>
        <v xml:space="preserve">http://slimages.macys.com/is/image/MCY/20052304 </v>
      </c>
    </row>
    <row r="138" spans="1:20" ht="15" customHeight="1" x14ac:dyDescent="0.25">
      <c r="A138" s="4" t="s">
        <v>2489</v>
      </c>
      <c r="B138" s="2" t="s">
        <v>2487</v>
      </c>
      <c r="C138" s="2" t="s">
        <v>2488</v>
      </c>
      <c r="D138" s="5" t="s">
        <v>2490</v>
      </c>
      <c r="E138" s="4" t="s">
        <v>2491</v>
      </c>
      <c r="F138" s="6">
        <v>14277629</v>
      </c>
      <c r="G138" s="3">
        <v>14277629</v>
      </c>
      <c r="H138" s="7">
        <v>194870574027</v>
      </c>
      <c r="I138" s="8" t="s">
        <v>1295</v>
      </c>
      <c r="J138" s="4">
        <v>1</v>
      </c>
      <c r="K138" s="9">
        <v>30.99</v>
      </c>
      <c r="L138" s="9">
        <v>30.99</v>
      </c>
      <c r="M138" s="4" t="s">
        <v>1833</v>
      </c>
      <c r="N138" s="4" t="s">
        <v>2497</v>
      </c>
      <c r="O138" s="4" t="s">
        <v>2671</v>
      </c>
      <c r="P138" s="4" t="s">
        <v>2619</v>
      </c>
      <c r="Q138" s="4" t="s">
        <v>2681</v>
      </c>
      <c r="R138" s="4"/>
      <c r="S138" s="4"/>
      <c r="T138" s="4" t="str">
        <f>HYPERLINK("http://slimages.macys.com/is/image/MCY/19943242 ")</f>
        <v xml:space="preserve">http://slimages.macys.com/is/image/MCY/19943242 </v>
      </c>
    </row>
    <row r="139" spans="1:20" ht="15" customHeight="1" x14ac:dyDescent="0.25">
      <c r="A139" s="4" t="s">
        <v>2489</v>
      </c>
      <c r="B139" s="2" t="s">
        <v>2487</v>
      </c>
      <c r="C139" s="2" t="s">
        <v>2488</v>
      </c>
      <c r="D139" s="5" t="s">
        <v>2490</v>
      </c>
      <c r="E139" s="4" t="s">
        <v>2491</v>
      </c>
      <c r="F139" s="6">
        <v>14277629</v>
      </c>
      <c r="G139" s="3">
        <v>14277629</v>
      </c>
      <c r="H139" s="7">
        <v>194513562596</v>
      </c>
      <c r="I139" s="8" t="s">
        <v>1296</v>
      </c>
      <c r="J139" s="4">
        <v>1</v>
      </c>
      <c r="K139" s="9">
        <v>25</v>
      </c>
      <c r="L139" s="9">
        <v>25</v>
      </c>
      <c r="M139" s="4">
        <v>1357600</v>
      </c>
      <c r="N139" s="4" t="s">
        <v>2523</v>
      </c>
      <c r="O139" s="4" t="s">
        <v>2532</v>
      </c>
      <c r="P139" s="4" t="s">
        <v>2499</v>
      </c>
      <c r="Q139" s="4" t="s">
        <v>2958</v>
      </c>
      <c r="R139" s="4"/>
      <c r="S139" s="4"/>
      <c r="T139" s="4" t="str">
        <f>HYPERLINK("http://slimages.macys.com/is/image/MCY/19857060 ")</f>
        <v xml:space="preserve">http://slimages.macys.com/is/image/MCY/19857060 </v>
      </c>
    </row>
    <row r="140" spans="1:20" ht="15" customHeight="1" x14ac:dyDescent="0.25">
      <c r="A140" s="4" t="s">
        <v>2489</v>
      </c>
      <c r="B140" s="2" t="s">
        <v>2487</v>
      </c>
      <c r="C140" s="2" t="s">
        <v>2488</v>
      </c>
      <c r="D140" s="5" t="s">
        <v>2490</v>
      </c>
      <c r="E140" s="4" t="s">
        <v>2491</v>
      </c>
      <c r="F140" s="6">
        <v>14277629</v>
      </c>
      <c r="G140" s="3">
        <v>14277629</v>
      </c>
      <c r="H140" s="7">
        <v>885031527647</v>
      </c>
      <c r="I140" s="8" t="s">
        <v>2800</v>
      </c>
      <c r="J140" s="4">
        <v>1</v>
      </c>
      <c r="K140" s="9">
        <v>35</v>
      </c>
      <c r="L140" s="9">
        <v>35</v>
      </c>
      <c r="M140" s="4">
        <v>323858710001</v>
      </c>
      <c r="N140" s="4" t="s">
        <v>2523</v>
      </c>
      <c r="O140" s="4" t="s">
        <v>2555</v>
      </c>
      <c r="P140" s="4" t="s">
        <v>2615</v>
      </c>
      <c r="Q140" s="4" t="s">
        <v>2616</v>
      </c>
      <c r="R140" s="4"/>
      <c r="S140" s="4"/>
      <c r="T140" s="4" t="str">
        <f>HYPERLINK("http://slimages.macys.com/is/image/MCY/20655346 ")</f>
        <v xml:space="preserve">http://slimages.macys.com/is/image/MCY/20655346 </v>
      </c>
    </row>
    <row r="141" spans="1:20" ht="15" customHeight="1" x14ac:dyDescent="0.25">
      <c r="A141" s="4" t="s">
        <v>2489</v>
      </c>
      <c r="B141" s="2" t="s">
        <v>2487</v>
      </c>
      <c r="C141" s="2" t="s">
        <v>2488</v>
      </c>
      <c r="D141" s="5" t="s">
        <v>2490</v>
      </c>
      <c r="E141" s="4" t="s">
        <v>2491</v>
      </c>
      <c r="F141" s="6">
        <v>14277629</v>
      </c>
      <c r="G141" s="3">
        <v>14277629</v>
      </c>
      <c r="H141" s="7">
        <v>194135461574</v>
      </c>
      <c r="I141" s="8" t="s">
        <v>1297</v>
      </c>
      <c r="J141" s="4">
        <v>1</v>
      </c>
      <c r="K141" s="9">
        <v>10.41</v>
      </c>
      <c r="L141" s="9">
        <v>10.41</v>
      </c>
      <c r="M141" s="4" t="s">
        <v>3152</v>
      </c>
      <c r="N141" s="4"/>
      <c r="O141" s="4" t="s">
        <v>2705</v>
      </c>
      <c r="P141" s="4" t="s">
        <v>2657</v>
      </c>
      <c r="Q141" s="4" t="s">
        <v>2658</v>
      </c>
      <c r="R141" s="4"/>
      <c r="S141" s="4"/>
      <c r="T141" s="4" t="str">
        <f>HYPERLINK("http://slimages.macys.com/is/image/MCY/19858123 ")</f>
        <v xml:space="preserve">http://slimages.macys.com/is/image/MCY/19858123 </v>
      </c>
    </row>
    <row r="142" spans="1:20" ht="15" customHeight="1" x14ac:dyDescent="0.25">
      <c r="A142" s="4" t="s">
        <v>2489</v>
      </c>
      <c r="B142" s="2" t="s">
        <v>2487</v>
      </c>
      <c r="C142" s="2" t="s">
        <v>2488</v>
      </c>
      <c r="D142" s="5" t="s">
        <v>2490</v>
      </c>
      <c r="E142" s="4" t="s">
        <v>2491</v>
      </c>
      <c r="F142" s="6">
        <v>14277629</v>
      </c>
      <c r="G142" s="3">
        <v>14277629</v>
      </c>
      <c r="H142" s="7">
        <v>195958059269</v>
      </c>
      <c r="I142" s="8" t="s">
        <v>2409</v>
      </c>
      <c r="J142" s="4">
        <v>1</v>
      </c>
      <c r="K142" s="9">
        <v>24.99</v>
      </c>
      <c r="L142" s="9">
        <v>24.99</v>
      </c>
      <c r="M142" s="4" t="s">
        <v>1298</v>
      </c>
      <c r="N142" s="4" t="s">
        <v>2544</v>
      </c>
      <c r="O142" s="4" t="s">
        <v>2653</v>
      </c>
      <c r="P142" s="4" t="s">
        <v>2536</v>
      </c>
      <c r="Q142" s="4" t="s">
        <v>2844</v>
      </c>
      <c r="R142" s="4"/>
      <c r="S142" s="4"/>
      <c r="T142" s="4" t="str">
        <f>HYPERLINK("http://slimages.macys.com/is/image/MCY/20078176 ")</f>
        <v xml:space="preserve">http://slimages.macys.com/is/image/MCY/20078176 </v>
      </c>
    </row>
    <row r="143" spans="1:20" ht="15" customHeight="1" x14ac:dyDescent="0.25">
      <c r="A143" s="4" t="s">
        <v>2489</v>
      </c>
      <c r="B143" s="2" t="s">
        <v>2487</v>
      </c>
      <c r="C143" s="2" t="s">
        <v>2488</v>
      </c>
      <c r="D143" s="5" t="s">
        <v>2490</v>
      </c>
      <c r="E143" s="4" t="s">
        <v>2491</v>
      </c>
      <c r="F143" s="6">
        <v>14277629</v>
      </c>
      <c r="G143" s="3">
        <v>14277629</v>
      </c>
      <c r="H143" s="7">
        <v>194257574589</v>
      </c>
      <c r="I143" s="8" t="s">
        <v>2131</v>
      </c>
      <c r="J143" s="4">
        <v>1</v>
      </c>
      <c r="K143" s="9">
        <v>29.99</v>
      </c>
      <c r="L143" s="9">
        <v>29.99</v>
      </c>
      <c r="M143" s="4" t="s">
        <v>2097</v>
      </c>
      <c r="N143" s="4" t="s">
        <v>2505</v>
      </c>
      <c r="O143" s="4" t="s">
        <v>2559</v>
      </c>
      <c r="P143" s="4" t="s">
        <v>2740</v>
      </c>
      <c r="Q143" s="4" t="s">
        <v>2654</v>
      </c>
      <c r="R143" s="4"/>
      <c r="S143" s="4"/>
      <c r="T143" s="4" t="str">
        <f>HYPERLINK("http://slimages.macys.com/is/image/MCY/20244782 ")</f>
        <v xml:space="preserve">http://slimages.macys.com/is/image/MCY/20244782 </v>
      </c>
    </row>
    <row r="144" spans="1:20" ht="15" customHeight="1" x14ac:dyDescent="0.25">
      <c r="A144" s="4" t="s">
        <v>2489</v>
      </c>
      <c r="B144" s="2" t="s">
        <v>2487</v>
      </c>
      <c r="C144" s="2" t="s">
        <v>2488</v>
      </c>
      <c r="D144" s="5" t="s">
        <v>2490</v>
      </c>
      <c r="E144" s="4" t="s">
        <v>2491</v>
      </c>
      <c r="F144" s="6">
        <v>14277629</v>
      </c>
      <c r="G144" s="3">
        <v>14277629</v>
      </c>
      <c r="H144" s="7">
        <v>194135463387</v>
      </c>
      <c r="I144" s="8" t="s">
        <v>1299</v>
      </c>
      <c r="J144" s="4">
        <v>1</v>
      </c>
      <c r="K144" s="9">
        <v>14.56</v>
      </c>
      <c r="L144" s="9">
        <v>14.56</v>
      </c>
      <c r="M144" s="4" t="s">
        <v>1300</v>
      </c>
      <c r="N144" s="4"/>
      <c r="O144" s="4" t="s">
        <v>2607</v>
      </c>
      <c r="P144" s="4" t="s">
        <v>2494</v>
      </c>
      <c r="Q144" s="4" t="s">
        <v>2495</v>
      </c>
      <c r="R144" s="4"/>
      <c r="S144" s="4"/>
      <c r="T144" s="4" t="str">
        <f>HYPERLINK("http://slimages.macys.com/is/image/MCY/19836742 ")</f>
        <v xml:space="preserve">http://slimages.macys.com/is/image/MCY/19836742 </v>
      </c>
    </row>
    <row r="145" spans="1:20" ht="15" customHeight="1" x14ac:dyDescent="0.25">
      <c r="A145" s="4" t="s">
        <v>2489</v>
      </c>
      <c r="B145" s="2" t="s">
        <v>2487</v>
      </c>
      <c r="C145" s="2" t="s">
        <v>2488</v>
      </c>
      <c r="D145" s="5" t="s">
        <v>2490</v>
      </c>
      <c r="E145" s="4" t="s">
        <v>2491</v>
      </c>
      <c r="F145" s="6">
        <v>14277629</v>
      </c>
      <c r="G145" s="3">
        <v>14277629</v>
      </c>
      <c r="H145" s="7">
        <v>696114431450</v>
      </c>
      <c r="I145" s="8" t="s">
        <v>3073</v>
      </c>
      <c r="J145" s="4">
        <v>4</v>
      </c>
      <c r="K145" s="9">
        <v>19.989999999999998</v>
      </c>
      <c r="L145" s="9">
        <v>79.959999999999994</v>
      </c>
      <c r="M145" s="4" t="s">
        <v>3074</v>
      </c>
      <c r="N145" s="4"/>
      <c r="O145" s="4"/>
      <c r="P145" s="4" t="s">
        <v>2569</v>
      </c>
      <c r="Q145" s="4" t="s">
        <v>2679</v>
      </c>
      <c r="R145" s="4"/>
      <c r="S145" s="4"/>
      <c r="T145" s="4" t="str">
        <f>HYPERLINK("http://slimages.macys.com/is/image/MCY/20426376 ")</f>
        <v xml:space="preserve">http://slimages.macys.com/is/image/MCY/20426376 </v>
      </c>
    </row>
    <row r="146" spans="1:20" ht="15" customHeight="1" x14ac:dyDescent="0.25">
      <c r="A146" s="4" t="s">
        <v>2489</v>
      </c>
      <c r="B146" s="2" t="s">
        <v>2487</v>
      </c>
      <c r="C146" s="2" t="s">
        <v>2488</v>
      </c>
      <c r="D146" s="5" t="s">
        <v>2490</v>
      </c>
      <c r="E146" s="4" t="s">
        <v>2491</v>
      </c>
      <c r="F146" s="6">
        <v>14277629</v>
      </c>
      <c r="G146" s="3">
        <v>14277629</v>
      </c>
      <c r="H146" s="7">
        <v>194257149084</v>
      </c>
      <c r="I146" s="8" t="s">
        <v>2686</v>
      </c>
      <c r="J146" s="4">
        <v>1</v>
      </c>
      <c r="K146" s="9">
        <v>17.989999999999998</v>
      </c>
      <c r="L146" s="9">
        <v>17.989999999999998</v>
      </c>
      <c r="M146" s="4" t="s">
        <v>2687</v>
      </c>
      <c r="N146" s="4" t="s">
        <v>2514</v>
      </c>
      <c r="O146" s="4" t="s">
        <v>2671</v>
      </c>
      <c r="P146" s="4" t="s">
        <v>2619</v>
      </c>
      <c r="Q146" s="4" t="s">
        <v>2500</v>
      </c>
      <c r="R146" s="4"/>
      <c r="S146" s="4"/>
      <c r="T146" s="4" t="str">
        <f>HYPERLINK("http://slimages.macys.com/is/image/MCY/17602093 ")</f>
        <v xml:space="preserve">http://slimages.macys.com/is/image/MCY/17602093 </v>
      </c>
    </row>
    <row r="147" spans="1:20" ht="15" customHeight="1" x14ac:dyDescent="0.25">
      <c r="A147" s="4" t="s">
        <v>2489</v>
      </c>
      <c r="B147" s="2" t="s">
        <v>2487</v>
      </c>
      <c r="C147" s="2" t="s">
        <v>2488</v>
      </c>
      <c r="D147" s="5" t="s">
        <v>2490</v>
      </c>
      <c r="E147" s="4" t="s">
        <v>2491</v>
      </c>
      <c r="F147" s="6">
        <v>14277629</v>
      </c>
      <c r="G147" s="3">
        <v>14277629</v>
      </c>
      <c r="H147" s="7">
        <v>733003643119</v>
      </c>
      <c r="I147" s="8" t="s">
        <v>1301</v>
      </c>
      <c r="J147" s="4">
        <v>10</v>
      </c>
      <c r="K147" s="9">
        <v>21.99</v>
      </c>
      <c r="L147" s="9">
        <v>219.9</v>
      </c>
      <c r="M147" s="4" t="s">
        <v>1917</v>
      </c>
      <c r="N147" s="4" t="s">
        <v>2561</v>
      </c>
      <c r="O147" s="4" t="s">
        <v>2555</v>
      </c>
      <c r="P147" s="4" t="s">
        <v>2515</v>
      </c>
      <c r="Q147" s="4" t="s">
        <v>2516</v>
      </c>
      <c r="R147" s="4"/>
      <c r="S147" s="4"/>
      <c r="T147" s="4" t="str">
        <f>HYPERLINK("http://slimages.macys.com/is/image/MCY/20008274 ")</f>
        <v xml:space="preserve">http://slimages.macys.com/is/image/MCY/20008274 </v>
      </c>
    </row>
    <row r="148" spans="1:20" ht="15" customHeight="1" x14ac:dyDescent="0.25">
      <c r="A148" s="4" t="s">
        <v>2489</v>
      </c>
      <c r="B148" s="2" t="s">
        <v>2487</v>
      </c>
      <c r="C148" s="2" t="s">
        <v>2488</v>
      </c>
      <c r="D148" s="5" t="s">
        <v>2490</v>
      </c>
      <c r="E148" s="4" t="s">
        <v>2491</v>
      </c>
      <c r="F148" s="6">
        <v>14277629</v>
      </c>
      <c r="G148" s="3">
        <v>14277629</v>
      </c>
      <c r="H148" s="7">
        <v>733004883712</v>
      </c>
      <c r="I148" s="8" t="s">
        <v>1302</v>
      </c>
      <c r="J148" s="4">
        <v>1</v>
      </c>
      <c r="K148" s="9">
        <v>6.99</v>
      </c>
      <c r="L148" s="9">
        <v>6.99</v>
      </c>
      <c r="M148" s="4" t="s">
        <v>2826</v>
      </c>
      <c r="N148" s="4" t="s">
        <v>2505</v>
      </c>
      <c r="O148" s="4" t="s">
        <v>2601</v>
      </c>
      <c r="P148" s="4" t="s">
        <v>2503</v>
      </c>
      <c r="Q148" s="4" t="s">
        <v>2504</v>
      </c>
      <c r="R148" s="4"/>
      <c r="S148" s="4"/>
      <c r="T148" s="4" t="str">
        <f>HYPERLINK("http://slimages.macys.com/is/image/MCY/1070793 ")</f>
        <v xml:space="preserve">http://slimages.macys.com/is/image/MCY/1070793 </v>
      </c>
    </row>
    <row r="149" spans="1:20" ht="15" customHeight="1" x14ac:dyDescent="0.25">
      <c r="A149" s="4" t="s">
        <v>2489</v>
      </c>
      <c r="B149" s="2" t="s">
        <v>2487</v>
      </c>
      <c r="C149" s="2" t="s">
        <v>2488</v>
      </c>
      <c r="D149" s="5" t="s">
        <v>2490</v>
      </c>
      <c r="E149" s="4" t="s">
        <v>2491</v>
      </c>
      <c r="F149" s="6">
        <v>14277629</v>
      </c>
      <c r="G149" s="3">
        <v>14277629</v>
      </c>
      <c r="H149" s="7">
        <v>733004883729</v>
      </c>
      <c r="I149" s="8" t="s">
        <v>2825</v>
      </c>
      <c r="J149" s="4">
        <v>1</v>
      </c>
      <c r="K149" s="9">
        <v>6.99</v>
      </c>
      <c r="L149" s="9">
        <v>6.99</v>
      </c>
      <c r="M149" s="4" t="s">
        <v>2826</v>
      </c>
      <c r="N149" s="4" t="s">
        <v>2505</v>
      </c>
      <c r="O149" s="4" t="s">
        <v>2566</v>
      </c>
      <c r="P149" s="4" t="s">
        <v>2503</v>
      </c>
      <c r="Q149" s="4" t="s">
        <v>2504</v>
      </c>
      <c r="R149" s="4"/>
      <c r="S149" s="4"/>
      <c r="T149" s="4" t="str">
        <f>HYPERLINK("http://slimages.macys.com/is/image/MCY/20142535 ")</f>
        <v xml:space="preserve">http://slimages.macys.com/is/image/MCY/20142535 </v>
      </c>
    </row>
    <row r="150" spans="1:20" ht="15" customHeight="1" x14ac:dyDescent="0.25">
      <c r="A150" s="4" t="s">
        <v>2489</v>
      </c>
      <c r="B150" s="2" t="s">
        <v>2487</v>
      </c>
      <c r="C150" s="2" t="s">
        <v>2488</v>
      </c>
      <c r="D150" s="5" t="s">
        <v>2490</v>
      </c>
      <c r="E150" s="4" t="s">
        <v>2491</v>
      </c>
      <c r="F150" s="6">
        <v>14277629</v>
      </c>
      <c r="G150" s="3">
        <v>14277629</v>
      </c>
      <c r="H150" s="7">
        <v>733004883705</v>
      </c>
      <c r="I150" s="8" t="s">
        <v>2458</v>
      </c>
      <c r="J150" s="4">
        <v>1</v>
      </c>
      <c r="K150" s="9">
        <v>6.99</v>
      </c>
      <c r="L150" s="9">
        <v>6.99</v>
      </c>
      <c r="M150" s="4" t="s">
        <v>2826</v>
      </c>
      <c r="N150" s="4" t="s">
        <v>2505</v>
      </c>
      <c r="O150" s="4" t="s">
        <v>2559</v>
      </c>
      <c r="P150" s="4" t="s">
        <v>2503</v>
      </c>
      <c r="Q150" s="4" t="s">
        <v>2504</v>
      </c>
      <c r="R150" s="4"/>
      <c r="S150" s="4"/>
      <c r="T150" s="4" t="str">
        <f>HYPERLINK("http://slimages.macys.com/is/image/MCY/1070793 ")</f>
        <v xml:space="preserve">http://slimages.macys.com/is/image/MCY/1070793 </v>
      </c>
    </row>
    <row r="151" spans="1:20" ht="15" customHeight="1" x14ac:dyDescent="0.25">
      <c r="A151" s="4" t="s">
        <v>2489</v>
      </c>
      <c r="B151" s="2" t="s">
        <v>2487</v>
      </c>
      <c r="C151" s="2" t="s">
        <v>2488</v>
      </c>
      <c r="D151" s="5" t="s">
        <v>2490</v>
      </c>
      <c r="E151" s="4" t="s">
        <v>2491</v>
      </c>
      <c r="F151" s="6">
        <v>14277629</v>
      </c>
      <c r="G151" s="3">
        <v>14277629</v>
      </c>
      <c r="H151" s="7">
        <v>733004746192</v>
      </c>
      <c r="I151" s="8" t="s">
        <v>1959</v>
      </c>
      <c r="J151" s="4">
        <v>1</v>
      </c>
      <c r="K151" s="9">
        <v>6.99</v>
      </c>
      <c r="L151" s="9">
        <v>6.99</v>
      </c>
      <c r="M151" s="4" t="s">
        <v>2885</v>
      </c>
      <c r="N151" s="4" t="s">
        <v>2505</v>
      </c>
      <c r="O151" s="4" t="s">
        <v>2601</v>
      </c>
      <c r="P151" s="4" t="s">
        <v>2503</v>
      </c>
      <c r="Q151" s="4" t="s">
        <v>2504</v>
      </c>
      <c r="R151" s="4"/>
      <c r="S151" s="4"/>
      <c r="T151" s="4" t="str">
        <f>HYPERLINK("http://slimages.macys.com/is/image/MCY/19977855 ")</f>
        <v xml:space="preserve">http://slimages.macys.com/is/image/MCY/19977855 </v>
      </c>
    </row>
    <row r="152" spans="1:20" ht="15" customHeight="1" x14ac:dyDescent="0.25">
      <c r="A152" s="4" t="s">
        <v>2489</v>
      </c>
      <c r="B152" s="2" t="s">
        <v>2487</v>
      </c>
      <c r="C152" s="2" t="s">
        <v>2488</v>
      </c>
      <c r="D152" s="5" t="s">
        <v>2490</v>
      </c>
      <c r="E152" s="4" t="s">
        <v>2491</v>
      </c>
      <c r="F152" s="6">
        <v>14277629</v>
      </c>
      <c r="G152" s="3">
        <v>14277629</v>
      </c>
      <c r="H152" s="7">
        <v>733004745850</v>
      </c>
      <c r="I152" s="8" t="s">
        <v>3271</v>
      </c>
      <c r="J152" s="4">
        <v>1</v>
      </c>
      <c r="K152" s="9">
        <v>6.99</v>
      </c>
      <c r="L152" s="9">
        <v>6.99</v>
      </c>
      <c r="M152" s="4" t="s">
        <v>2939</v>
      </c>
      <c r="N152" s="4" t="s">
        <v>2638</v>
      </c>
      <c r="O152" s="4" t="s">
        <v>2493</v>
      </c>
      <c r="P152" s="4" t="s">
        <v>2503</v>
      </c>
      <c r="Q152" s="4" t="s">
        <v>2504</v>
      </c>
      <c r="R152" s="4"/>
      <c r="S152" s="4"/>
      <c r="T152" s="4" t="str">
        <f>HYPERLINK("http://slimages.macys.com/is/image/MCY/19977792 ")</f>
        <v xml:space="preserve">http://slimages.macys.com/is/image/MCY/19977792 </v>
      </c>
    </row>
    <row r="153" spans="1:20" ht="15" customHeight="1" x14ac:dyDescent="0.25">
      <c r="A153" s="4" t="s">
        <v>2489</v>
      </c>
      <c r="B153" s="2" t="s">
        <v>2487</v>
      </c>
      <c r="C153" s="2" t="s">
        <v>2488</v>
      </c>
      <c r="D153" s="5" t="s">
        <v>2490</v>
      </c>
      <c r="E153" s="4" t="s">
        <v>2491</v>
      </c>
      <c r="F153" s="6">
        <v>14277629</v>
      </c>
      <c r="G153" s="3">
        <v>14277629</v>
      </c>
      <c r="H153" s="7">
        <v>733004884979</v>
      </c>
      <c r="I153" s="8" t="s">
        <v>3345</v>
      </c>
      <c r="J153" s="4">
        <v>1</v>
      </c>
      <c r="K153" s="9">
        <v>8.99</v>
      </c>
      <c r="L153" s="9">
        <v>8.99</v>
      </c>
      <c r="M153" s="4" t="s">
        <v>2647</v>
      </c>
      <c r="N153" s="4" t="s">
        <v>2501</v>
      </c>
      <c r="O153" s="4"/>
      <c r="P153" s="4" t="s">
        <v>2503</v>
      </c>
      <c r="Q153" s="4" t="s">
        <v>2504</v>
      </c>
      <c r="R153" s="4"/>
      <c r="S153" s="4"/>
      <c r="T153" s="4" t="str">
        <f>HYPERLINK("http://slimages.macys.com/is/image/MCY/1030515 ")</f>
        <v xml:space="preserve">http://slimages.macys.com/is/image/MCY/1030515 </v>
      </c>
    </row>
    <row r="154" spans="1:20" ht="15" customHeight="1" x14ac:dyDescent="0.25">
      <c r="A154" s="4" t="s">
        <v>2489</v>
      </c>
      <c r="B154" s="2" t="s">
        <v>2487</v>
      </c>
      <c r="C154" s="2" t="s">
        <v>2488</v>
      </c>
      <c r="D154" s="5" t="s">
        <v>2490</v>
      </c>
      <c r="E154" s="4" t="s">
        <v>2491</v>
      </c>
      <c r="F154" s="6">
        <v>14277629</v>
      </c>
      <c r="G154" s="3">
        <v>14277629</v>
      </c>
      <c r="H154" s="7">
        <v>762120113281</v>
      </c>
      <c r="I154" s="8" t="s">
        <v>2006</v>
      </c>
      <c r="J154" s="4">
        <v>1</v>
      </c>
      <c r="K154" s="9">
        <v>6.99</v>
      </c>
      <c r="L154" s="9">
        <v>6.99</v>
      </c>
      <c r="M154" s="4" t="s">
        <v>2660</v>
      </c>
      <c r="N154" s="4" t="s">
        <v>2598</v>
      </c>
      <c r="O154" s="4" t="s">
        <v>2493</v>
      </c>
      <c r="P154" s="4" t="s">
        <v>2503</v>
      </c>
      <c r="Q154" s="4" t="s">
        <v>2504</v>
      </c>
      <c r="R154" s="4"/>
      <c r="S154" s="4"/>
      <c r="T154" s="4" t="str">
        <f>HYPERLINK("http://slimages.macys.com/is/image/MCY/19977390 ")</f>
        <v xml:space="preserve">http://slimages.macys.com/is/image/MCY/19977390 </v>
      </c>
    </row>
    <row r="155" spans="1:20" ht="15" customHeight="1" x14ac:dyDescent="0.25">
      <c r="A155" s="4" t="s">
        <v>2489</v>
      </c>
      <c r="B155" s="2" t="s">
        <v>2487</v>
      </c>
      <c r="C155" s="2" t="s">
        <v>2488</v>
      </c>
      <c r="D155" s="5" t="s">
        <v>2490</v>
      </c>
      <c r="E155" s="4" t="s">
        <v>2491</v>
      </c>
      <c r="F155" s="6">
        <v>14277629</v>
      </c>
      <c r="G155" s="3">
        <v>14277629</v>
      </c>
      <c r="H155" s="7">
        <v>733004779107</v>
      </c>
      <c r="I155" s="8" t="s">
        <v>3313</v>
      </c>
      <c r="J155" s="4">
        <v>1</v>
      </c>
      <c r="K155" s="9">
        <v>7.99</v>
      </c>
      <c r="L155" s="9">
        <v>7.99</v>
      </c>
      <c r="M155" s="4" t="s">
        <v>2719</v>
      </c>
      <c r="N155" s="4" t="s">
        <v>2565</v>
      </c>
      <c r="O155" s="4" t="s">
        <v>2629</v>
      </c>
      <c r="P155" s="4" t="s">
        <v>2602</v>
      </c>
      <c r="Q155" s="4" t="s">
        <v>2528</v>
      </c>
      <c r="R155" s="4"/>
      <c r="S155" s="4"/>
      <c r="T155" s="4" t="str">
        <f>HYPERLINK("http://slimages.macys.com/is/image/MCY/20450156 ")</f>
        <v xml:space="preserve">http://slimages.macys.com/is/image/MCY/20450156 </v>
      </c>
    </row>
    <row r="156" spans="1:20" ht="15" customHeight="1" x14ac:dyDescent="0.25">
      <c r="A156" s="4" t="s">
        <v>2489</v>
      </c>
      <c r="B156" s="2" t="s">
        <v>2487</v>
      </c>
      <c r="C156" s="2" t="s">
        <v>2488</v>
      </c>
      <c r="D156" s="5" t="s">
        <v>2490</v>
      </c>
      <c r="E156" s="4" t="s">
        <v>2491</v>
      </c>
      <c r="F156" s="6">
        <v>14277629</v>
      </c>
      <c r="G156" s="3">
        <v>14277629</v>
      </c>
      <c r="H156" s="7">
        <v>733004722868</v>
      </c>
      <c r="I156" s="8" t="s">
        <v>1303</v>
      </c>
      <c r="J156" s="4">
        <v>2</v>
      </c>
      <c r="K156" s="9">
        <v>28.99</v>
      </c>
      <c r="L156" s="9">
        <v>57.98</v>
      </c>
      <c r="M156" s="4" t="s">
        <v>3201</v>
      </c>
      <c r="N156" s="4" t="s">
        <v>2531</v>
      </c>
      <c r="O156" s="4" t="s">
        <v>2493</v>
      </c>
      <c r="P156" s="4" t="s">
        <v>2503</v>
      </c>
      <c r="Q156" s="4" t="s">
        <v>2504</v>
      </c>
      <c r="R156" s="4"/>
      <c r="S156" s="4"/>
      <c r="T156" s="4" t="str">
        <f>HYPERLINK("http://slimages.macys.com/is/image/MCY/19977928 ")</f>
        <v xml:space="preserve">http://slimages.macys.com/is/image/MCY/19977928 </v>
      </c>
    </row>
    <row r="157" spans="1:20" ht="15" customHeight="1" x14ac:dyDescent="0.25">
      <c r="A157" s="4" t="s">
        <v>2489</v>
      </c>
      <c r="B157" s="2" t="s">
        <v>2487</v>
      </c>
      <c r="C157" s="2" t="s">
        <v>2488</v>
      </c>
      <c r="D157" s="5" t="s">
        <v>2490</v>
      </c>
      <c r="E157" s="4" t="s">
        <v>2491</v>
      </c>
      <c r="F157" s="6">
        <v>14277629</v>
      </c>
      <c r="G157" s="3">
        <v>14277629</v>
      </c>
      <c r="H157" s="7">
        <v>733001050674</v>
      </c>
      <c r="I157" s="8" t="s">
        <v>2673</v>
      </c>
      <c r="J157" s="4">
        <v>2</v>
      </c>
      <c r="K157" s="9">
        <v>8.99</v>
      </c>
      <c r="L157" s="9">
        <v>17.98</v>
      </c>
      <c r="M157" s="4" t="s">
        <v>2674</v>
      </c>
      <c r="N157" s="4" t="s">
        <v>2501</v>
      </c>
      <c r="O157" s="4" t="s">
        <v>2566</v>
      </c>
      <c r="P157" s="4" t="s">
        <v>2503</v>
      </c>
      <c r="Q157" s="4" t="s">
        <v>2504</v>
      </c>
      <c r="R157" s="4"/>
      <c r="S157" s="4"/>
      <c r="T157" s="4" t="str">
        <f>HYPERLINK("http://slimages.macys.com/is/image/MCY/17586312 ")</f>
        <v xml:space="preserve">http://slimages.macys.com/is/image/MCY/17586312 </v>
      </c>
    </row>
    <row r="158" spans="1:20" ht="15" customHeight="1" x14ac:dyDescent="0.25">
      <c r="A158" s="4" t="s">
        <v>2489</v>
      </c>
      <c r="B158" s="2" t="s">
        <v>2487</v>
      </c>
      <c r="C158" s="2" t="s">
        <v>2488</v>
      </c>
      <c r="D158" s="5" t="s">
        <v>2490</v>
      </c>
      <c r="E158" s="4" t="s">
        <v>2491</v>
      </c>
      <c r="F158" s="6">
        <v>14277629</v>
      </c>
      <c r="G158" s="3">
        <v>14277629</v>
      </c>
      <c r="H158" s="7">
        <v>807421102746</v>
      </c>
      <c r="I158" s="8" t="s">
        <v>3062</v>
      </c>
      <c r="J158" s="4">
        <v>1</v>
      </c>
      <c r="K158" s="9">
        <v>23.64</v>
      </c>
      <c r="L158" s="9">
        <v>23.64</v>
      </c>
      <c r="M158" s="4" t="s">
        <v>2563</v>
      </c>
      <c r="N158" s="4" t="s">
        <v>2505</v>
      </c>
      <c r="O158" s="4" t="s">
        <v>2555</v>
      </c>
      <c r="P158" s="4" t="s">
        <v>2564</v>
      </c>
      <c r="Q158" s="4" t="s">
        <v>2507</v>
      </c>
      <c r="R158" s="4"/>
      <c r="S158" s="4"/>
      <c r="T158" s="4" t="str">
        <f>HYPERLINK("http://slimages.macys.com/is/image/MCY/19699892 ")</f>
        <v xml:space="preserve">http://slimages.macys.com/is/image/MCY/19699892 </v>
      </c>
    </row>
    <row r="159" spans="1:20" ht="15" customHeight="1" x14ac:dyDescent="0.25">
      <c r="A159" s="4" t="s">
        <v>2489</v>
      </c>
      <c r="B159" s="2" t="s">
        <v>2487</v>
      </c>
      <c r="C159" s="2" t="s">
        <v>2488</v>
      </c>
      <c r="D159" s="5" t="s">
        <v>2490</v>
      </c>
      <c r="E159" s="4" t="s">
        <v>2491</v>
      </c>
      <c r="F159" s="6">
        <v>14277629</v>
      </c>
      <c r="G159" s="3">
        <v>14277629</v>
      </c>
      <c r="H159" s="7">
        <v>193666722536</v>
      </c>
      <c r="I159" s="8" t="s">
        <v>1304</v>
      </c>
      <c r="J159" s="4">
        <v>1</v>
      </c>
      <c r="K159" s="9">
        <v>14.99</v>
      </c>
      <c r="L159" s="9">
        <v>14.99</v>
      </c>
      <c r="M159" s="4" t="s">
        <v>2996</v>
      </c>
      <c r="N159" s="4" t="s">
        <v>2501</v>
      </c>
      <c r="O159" s="4" t="s">
        <v>2498</v>
      </c>
      <c r="P159" s="4" t="s">
        <v>2666</v>
      </c>
      <c r="Q159" s="4" t="s">
        <v>2775</v>
      </c>
      <c r="R159" s="4"/>
      <c r="S159" s="4"/>
      <c r="T159" s="4" t="str">
        <f>HYPERLINK("http://slimages.macys.com/is/image/MCY/18619089 ")</f>
        <v xml:space="preserve">http://slimages.macys.com/is/image/MCY/18619089 </v>
      </c>
    </row>
    <row r="160" spans="1:20" ht="15" customHeight="1" x14ac:dyDescent="0.25">
      <c r="A160" s="4" t="s">
        <v>2489</v>
      </c>
      <c r="B160" s="2" t="s">
        <v>2487</v>
      </c>
      <c r="C160" s="2" t="s">
        <v>2488</v>
      </c>
      <c r="D160" s="5" t="s">
        <v>2490</v>
      </c>
      <c r="E160" s="4" t="s">
        <v>2491</v>
      </c>
      <c r="F160" s="6">
        <v>14277629</v>
      </c>
      <c r="G160" s="3">
        <v>14277629</v>
      </c>
      <c r="H160" s="7">
        <v>195883504506</v>
      </c>
      <c r="I160" s="8" t="s">
        <v>1305</v>
      </c>
      <c r="J160" s="4">
        <v>1</v>
      </c>
      <c r="K160" s="9">
        <v>14.99</v>
      </c>
      <c r="L160" s="9">
        <v>14.99</v>
      </c>
      <c r="M160" s="4" t="s">
        <v>1306</v>
      </c>
      <c r="N160" s="4" t="s">
        <v>2544</v>
      </c>
      <c r="O160" s="4" t="s">
        <v>2555</v>
      </c>
      <c r="P160" s="4" t="s">
        <v>2536</v>
      </c>
      <c r="Q160" s="4" t="s">
        <v>3199</v>
      </c>
      <c r="R160" s="4"/>
      <c r="S160" s="4"/>
      <c r="T160" s="4" t="str">
        <f>HYPERLINK("http://slimages.macys.com/is/image/MCY/20580906 ")</f>
        <v xml:space="preserve">http://slimages.macys.com/is/image/MCY/20580906 </v>
      </c>
    </row>
    <row r="161" spans="1:20" ht="15" customHeight="1" x14ac:dyDescent="0.25">
      <c r="A161" s="4" t="s">
        <v>2489</v>
      </c>
      <c r="B161" s="2" t="s">
        <v>2487</v>
      </c>
      <c r="C161" s="2" t="s">
        <v>2488</v>
      </c>
      <c r="D161" s="5" t="s">
        <v>2490</v>
      </c>
      <c r="E161" s="4" t="s">
        <v>2491</v>
      </c>
      <c r="F161" s="6">
        <v>14277629</v>
      </c>
      <c r="G161" s="3">
        <v>14277629</v>
      </c>
      <c r="H161" s="7">
        <v>194257330154</v>
      </c>
      <c r="I161" s="8" t="s">
        <v>1307</v>
      </c>
      <c r="J161" s="4">
        <v>1</v>
      </c>
      <c r="K161" s="9">
        <v>9.99</v>
      </c>
      <c r="L161" s="9">
        <v>9.99</v>
      </c>
      <c r="M161" s="4" t="s">
        <v>1308</v>
      </c>
      <c r="N161" s="4" t="s">
        <v>2530</v>
      </c>
      <c r="O161" s="4" t="s">
        <v>2653</v>
      </c>
      <c r="P161" s="4" t="s">
        <v>2619</v>
      </c>
      <c r="Q161" s="4" t="s">
        <v>2654</v>
      </c>
      <c r="R161" s="4"/>
      <c r="S161" s="4"/>
      <c r="T161" s="4" t="str">
        <f>HYPERLINK("http://slimages.macys.com/is/image/MCY/19072385 ")</f>
        <v xml:space="preserve">http://slimages.macys.com/is/image/MCY/19072385 </v>
      </c>
    </row>
    <row r="162" spans="1:20" ht="15" customHeight="1" x14ac:dyDescent="0.25">
      <c r="A162" s="4" t="s">
        <v>2489</v>
      </c>
      <c r="B162" s="2" t="s">
        <v>2487</v>
      </c>
      <c r="C162" s="2" t="s">
        <v>2488</v>
      </c>
      <c r="D162" s="5" t="s">
        <v>2490</v>
      </c>
      <c r="E162" s="4" t="s">
        <v>2491</v>
      </c>
      <c r="F162" s="6">
        <v>14277629</v>
      </c>
      <c r="G162" s="3">
        <v>14277629</v>
      </c>
      <c r="H162" s="7">
        <v>733004780936</v>
      </c>
      <c r="I162" s="8" t="s">
        <v>1309</v>
      </c>
      <c r="J162" s="4">
        <v>1</v>
      </c>
      <c r="K162" s="9">
        <v>11.99</v>
      </c>
      <c r="L162" s="9">
        <v>11.99</v>
      </c>
      <c r="M162" s="4" t="s">
        <v>3083</v>
      </c>
      <c r="N162" s="4" t="s">
        <v>2530</v>
      </c>
      <c r="O162" s="4" t="s">
        <v>2628</v>
      </c>
      <c r="P162" s="4" t="s">
        <v>2602</v>
      </c>
      <c r="Q162" s="4" t="s">
        <v>2528</v>
      </c>
      <c r="R162" s="4"/>
      <c r="S162" s="4"/>
      <c r="T162" s="4" t="str">
        <f>HYPERLINK("http://slimages.macys.com/is/image/MCY/20450174 ")</f>
        <v xml:space="preserve">http://slimages.macys.com/is/image/MCY/20450174 </v>
      </c>
    </row>
    <row r="163" spans="1:20" ht="15" customHeight="1" x14ac:dyDescent="0.25">
      <c r="A163" s="4" t="s">
        <v>2489</v>
      </c>
      <c r="B163" s="2" t="s">
        <v>2487</v>
      </c>
      <c r="C163" s="2" t="s">
        <v>2488</v>
      </c>
      <c r="D163" s="5" t="s">
        <v>2490</v>
      </c>
      <c r="E163" s="4" t="s">
        <v>2491</v>
      </c>
      <c r="F163" s="6">
        <v>14277629</v>
      </c>
      <c r="G163" s="3">
        <v>14277629</v>
      </c>
      <c r="H163" s="7">
        <v>46094542071</v>
      </c>
      <c r="I163" s="8" t="s">
        <v>3323</v>
      </c>
      <c r="J163" s="4">
        <v>1</v>
      </c>
      <c r="K163" s="9">
        <v>11.99</v>
      </c>
      <c r="L163" s="9">
        <v>11.99</v>
      </c>
      <c r="M163" s="4" t="s">
        <v>3185</v>
      </c>
      <c r="N163" s="4" t="s">
        <v>2747</v>
      </c>
      <c r="O163" s="4" t="s">
        <v>2555</v>
      </c>
      <c r="P163" s="4" t="s">
        <v>2666</v>
      </c>
      <c r="Q163" s="4" t="s">
        <v>2667</v>
      </c>
      <c r="R163" s="4" t="s">
        <v>2552</v>
      </c>
      <c r="S163" s="4" t="s">
        <v>3186</v>
      </c>
      <c r="T163" s="4" t="str">
        <f>HYPERLINK("http://slimages.macys.com/is/image/MCY/2568960 ")</f>
        <v xml:space="preserve">http://slimages.macys.com/is/image/MCY/2568960 </v>
      </c>
    </row>
    <row r="164" spans="1:20" ht="15" customHeight="1" x14ac:dyDescent="0.25">
      <c r="A164" s="4" t="s">
        <v>2489</v>
      </c>
      <c r="B164" s="2" t="s">
        <v>2487</v>
      </c>
      <c r="C164" s="2" t="s">
        <v>2488</v>
      </c>
      <c r="D164" s="5" t="s">
        <v>2490</v>
      </c>
      <c r="E164" s="4" t="s">
        <v>2491</v>
      </c>
      <c r="F164" s="6">
        <v>14277629</v>
      </c>
      <c r="G164" s="3">
        <v>14277629</v>
      </c>
      <c r="H164" s="7">
        <v>193666517262</v>
      </c>
      <c r="I164" s="8" t="s">
        <v>3264</v>
      </c>
      <c r="J164" s="4">
        <v>1</v>
      </c>
      <c r="K164" s="9">
        <v>11.99</v>
      </c>
      <c r="L164" s="9">
        <v>11.99</v>
      </c>
      <c r="M164" s="4">
        <v>4217</v>
      </c>
      <c r="N164" s="4" t="s">
        <v>2762</v>
      </c>
      <c r="O164" s="4" t="s">
        <v>2555</v>
      </c>
      <c r="P164" s="4" t="s">
        <v>2666</v>
      </c>
      <c r="Q164" s="4" t="s">
        <v>2667</v>
      </c>
      <c r="R164" s="4" t="s">
        <v>2552</v>
      </c>
      <c r="S164" s="4" t="s">
        <v>3157</v>
      </c>
      <c r="T164" s="4" t="str">
        <f>HYPERLINK("http://slimages.macys.com/is/image/MCY/13050192 ")</f>
        <v xml:space="preserve">http://slimages.macys.com/is/image/MCY/13050192 </v>
      </c>
    </row>
    <row r="165" spans="1:20" ht="15" customHeight="1" x14ac:dyDescent="0.25">
      <c r="A165" s="4" t="s">
        <v>2489</v>
      </c>
      <c r="B165" s="2" t="s">
        <v>2487</v>
      </c>
      <c r="C165" s="2" t="s">
        <v>2488</v>
      </c>
      <c r="D165" s="5" t="s">
        <v>2490</v>
      </c>
      <c r="E165" s="4" t="s">
        <v>2491</v>
      </c>
      <c r="F165" s="6">
        <v>14277629</v>
      </c>
      <c r="G165" s="3">
        <v>14277629</v>
      </c>
      <c r="H165" s="7">
        <v>193666517934</v>
      </c>
      <c r="I165" s="8" t="s">
        <v>2052</v>
      </c>
      <c r="J165" s="4">
        <v>1</v>
      </c>
      <c r="K165" s="9">
        <v>4.99</v>
      </c>
      <c r="L165" s="9">
        <v>4.99</v>
      </c>
      <c r="M165" s="4">
        <v>4101</v>
      </c>
      <c r="N165" s="4" t="s">
        <v>2638</v>
      </c>
      <c r="O165" s="4" t="s">
        <v>2498</v>
      </c>
      <c r="P165" s="4" t="s">
        <v>2666</v>
      </c>
      <c r="Q165" s="4" t="s">
        <v>2667</v>
      </c>
      <c r="R165" s="4"/>
      <c r="S165" s="4"/>
      <c r="T165" s="4" t="str">
        <f>HYPERLINK("http://slimages.macys.com/is/image/MCY/19939990 ")</f>
        <v xml:space="preserve">http://slimages.macys.com/is/image/MCY/19939990 </v>
      </c>
    </row>
    <row r="166" spans="1:20" ht="15" customHeight="1" x14ac:dyDescent="0.25">
      <c r="A166" s="4" t="s">
        <v>2489</v>
      </c>
      <c r="B166" s="2" t="s">
        <v>2487</v>
      </c>
      <c r="C166" s="2" t="s">
        <v>2488</v>
      </c>
      <c r="D166" s="5" t="s">
        <v>2490</v>
      </c>
      <c r="E166" s="4" t="s">
        <v>2491</v>
      </c>
      <c r="F166" s="6">
        <v>14277629</v>
      </c>
      <c r="G166" s="3">
        <v>14277629</v>
      </c>
      <c r="H166" s="7">
        <v>762120263306</v>
      </c>
      <c r="I166" s="8" t="s">
        <v>3386</v>
      </c>
      <c r="J166" s="4">
        <v>1</v>
      </c>
      <c r="K166" s="9">
        <v>13.99</v>
      </c>
      <c r="L166" s="9">
        <v>13.99</v>
      </c>
      <c r="M166" s="4" t="s">
        <v>3033</v>
      </c>
      <c r="N166" s="4" t="s">
        <v>2514</v>
      </c>
      <c r="O166" s="4" t="s">
        <v>2671</v>
      </c>
      <c r="P166" s="4" t="s">
        <v>2543</v>
      </c>
      <c r="Q166" s="4" t="s">
        <v>2528</v>
      </c>
      <c r="R166" s="4"/>
      <c r="S166" s="4"/>
      <c r="T166" s="4" t="str">
        <f>HYPERLINK("http://slimages.macys.com/is/image/MCY/20846556 ")</f>
        <v xml:space="preserve">http://slimages.macys.com/is/image/MCY/20846556 </v>
      </c>
    </row>
    <row r="167" spans="1:20" ht="15" customHeight="1" x14ac:dyDescent="0.25">
      <c r="A167" s="4" t="s">
        <v>2489</v>
      </c>
      <c r="B167" s="2" t="s">
        <v>2487</v>
      </c>
      <c r="C167" s="2" t="s">
        <v>2488</v>
      </c>
      <c r="D167" s="5" t="s">
        <v>2490</v>
      </c>
      <c r="E167" s="4" t="s">
        <v>2491</v>
      </c>
      <c r="F167" s="6">
        <v>14277629</v>
      </c>
      <c r="G167" s="3">
        <v>14277629</v>
      </c>
      <c r="H167" s="7">
        <v>46094831175</v>
      </c>
      <c r="I167" s="8" t="s">
        <v>1310</v>
      </c>
      <c r="J167" s="4">
        <v>1</v>
      </c>
      <c r="K167" s="9">
        <v>11.99</v>
      </c>
      <c r="L167" s="9">
        <v>11.99</v>
      </c>
      <c r="M167" s="4" t="s">
        <v>3308</v>
      </c>
      <c r="N167" s="4" t="s">
        <v>2567</v>
      </c>
      <c r="O167" s="4" t="s">
        <v>2555</v>
      </c>
      <c r="P167" s="4" t="s">
        <v>2666</v>
      </c>
      <c r="Q167" s="4" t="s">
        <v>2667</v>
      </c>
      <c r="R167" s="4" t="s">
        <v>2552</v>
      </c>
      <c r="S167" s="4" t="s">
        <v>3157</v>
      </c>
      <c r="T167" s="4" t="str">
        <f>HYPERLINK("http://slimages.macys.com/is/image/MCY/12083649 ")</f>
        <v xml:space="preserve">http://slimages.macys.com/is/image/MCY/12083649 </v>
      </c>
    </row>
    <row r="168" spans="1:20" ht="15" customHeight="1" x14ac:dyDescent="0.25">
      <c r="A168" s="4" t="s">
        <v>2489</v>
      </c>
      <c r="B168" s="2" t="s">
        <v>2487</v>
      </c>
      <c r="C168" s="2" t="s">
        <v>2488</v>
      </c>
      <c r="D168" s="5" t="s">
        <v>2490</v>
      </c>
      <c r="E168" s="4" t="s">
        <v>2491</v>
      </c>
      <c r="F168" s="6">
        <v>14277629</v>
      </c>
      <c r="G168" s="3">
        <v>14277629</v>
      </c>
      <c r="H168" s="7">
        <v>193666722581</v>
      </c>
      <c r="I168" s="8" t="s">
        <v>1311</v>
      </c>
      <c r="J168" s="4">
        <v>1</v>
      </c>
      <c r="K168" s="9">
        <v>14.99</v>
      </c>
      <c r="L168" s="9">
        <v>14.99</v>
      </c>
      <c r="M168" s="4" t="s">
        <v>2996</v>
      </c>
      <c r="N168" s="4" t="s">
        <v>2501</v>
      </c>
      <c r="O168" s="4" t="s">
        <v>2555</v>
      </c>
      <c r="P168" s="4" t="s">
        <v>2666</v>
      </c>
      <c r="Q168" s="4" t="s">
        <v>2775</v>
      </c>
      <c r="R168" s="4"/>
      <c r="S168" s="4"/>
      <c r="T168" s="4" t="str">
        <f>HYPERLINK("http://slimages.macys.com/is/image/MCY/18619089 ")</f>
        <v xml:space="preserve">http://slimages.macys.com/is/image/MCY/18619089 </v>
      </c>
    </row>
    <row r="169" spans="1:20" ht="15" customHeight="1" x14ac:dyDescent="0.25">
      <c r="A169" s="4" t="s">
        <v>2489</v>
      </c>
      <c r="B169" s="2" t="s">
        <v>2487</v>
      </c>
      <c r="C169" s="2" t="s">
        <v>2488</v>
      </c>
      <c r="D169" s="5" t="s">
        <v>2490</v>
      </c>
      <c r="E169" s="4" t="s">
        <v>2491</v>
      </c>
      <c r="F169" s="6">
        <v>14277629</v>
      </c>
      <c r="G169" s="3">
        <v>14277629</v>
      </c>
      <c r="H169" s="7">
        <v>193666794199</v>
      </c>
      <c r="I169" s="8" t="s">
        <v>1270</v>
      </c>
      <c r="J169" s="4">
        <v>2</v>
      </c>
      <c r="K169" s="9">
        <v>11.99</v>
      </c>
      <c r="L169" s="9">
        <v>23.98</v>
      </c>
      <c r="M169" s="4">
        <v>7122</v>
      </c>
      <c r="N169" s="4" t="s">
        <v>2561</v>
      </c>
      <c r="O169" s="4" t="s">
        <v>2555</v>
      </c>
      <c r="P169" s="4" t="s">
        <v>2666</v>
      </c>
      <c r="Q169" s="4" t="s">
        <v>2775</v>
      </c>
      <c r="R169" s="4"/>
      <c r="S169" s="4"/>
      <c r="T169" s="4"/>
    </row>
    <row r="170" spans="1:20" ht="15" customHeight="1" x14ac:dyDescent="0.25">
      <c r="A170" s="4" t="s">
        <v>2489</v>
      </c>
      <c r="B170" s="2" t="s">
        <v>2487</v>
      </c>
      <c r="C170" s="2" t="s">
        <v>2488</v>
      </c>
      <c r="D170" s="5" t="s">
        <v>2490</v>
      </c>
      <c r="E170" s="4" t="s">
        <v>2491</v>
      </c>
      <c r="F170" s="6">
        <v>14277629</v>
      </c>
      <c r="G170" s="3">
        <v>14277629</v>
      </c>
      <c r="H170" s="7">
        <v>762120087254</v>
      </c>
      <c r="I170" s="8" t="s">
        <v>3458</v>
      </c>
      <c r="J170" s="4">
        <v>3</v>
      </c>
      <c r="K170" s="9">
        <v>11.99</v>
      </c>
      <c r="L170" s="9">
        <v>35.97</v>
      </c>
      <c r="M170" s="4" t="s">
        <v>3045</v>
      </c>
      <c r="N170" s="4" t="s">
        <v>2567</v>
      </c>
      <c r="O170" s="4">
        <v>6</v>
      </c>
      <c r="P170" s="4" t="s">
        <v>2602</v>
      </c>
      <c r="Q170" s="4" t="s">
        <v>2528</v>
      </c>
      <c r="R170" s="4"/>
      <c r="S170" s="4"/>
      <c r="T170" s="4" t="str">
        <f>HYPERLINK("http://slimages.macys.com/is/image/MCY/20691887 ")</f>
        <v xml:space="preserve">http://slimages.macys.com/is/image/MCY/20691887 </v>
      </c>
    </row>
    <row r="171" spans="1:20" ht="15" customHeight="1" x14ac:dyDescent="0.25">
      <c r="A171" s="4" t="s">
        <v>2489</v>
      </c>
      <c r="B171" s="2" t="s">
        <v>2487</v>
      </c>
      <c r="C171" s="2" t="s">
        <v>2488</v>
      </c>
      <c r="D171" s="5" t="s">
        <v>2490</v>
      </c>
      <c r="E171" s="4" t="s">
        <v>2491</v>
      </c>
      <c r="F171" s="6">
        <v>14277629</v>
      </c>
      <c r="G171" s="3">
        <v>14277629</v>
      </c>
      <c r="H171" s="7">
        <v>762120162333</v>
      </c>
      <c r="I171" s="8" t="s">
        <v>3248</v>
      </c>
      <c r="J171" s="4">
        <v>1</v>
      </c>
      <c r="K171" s="9">
        <v>11.99</v>
      </c>
      <c r="L171" s="9">
        <v>11.99</v>
      </c>
      <c r="M171" s="4" t="s">
        <v>2631</v>
      </c>
      <c r="N171" s="4" t="s">
        <v>2632</v>
      </c>
      <c r="O171" s="4">
        <v>5</v>
      </c>
      <c r="P171" s="4" t="s">
        <v>2602</v>
      </c>
      <c r="Q171" s="4" t="s">
        <v>2528</v>
      </c>
      <c r="R171" s="4"/>
      <c r="S171" s="4"/>
      <c r="T171" s="4" t="str">
        <f>HYPERLINK("http://slimages.macys.com/is/image/MCY/20819681 ")</f>
        <v xml:space="preserve">http://slimages.macys.com/is/image/MCY/20819681 </v>
      </c>
    </row>
    <row r="172" spans="1:20" ht="15" customHeight="1" x14ac:dyDescent="0.25">
      <c r="A172" s="4" t="s">
        <v>2489</v>
      </c>
      <c r="B172" s="2" t="s">
        <v>2487</v>
      </c>
      <c r="C172" s="2" t="s">
        <v>2488</v>
      </c>
      <c r="D172" s="5" t="s">
        <v>2490</v>
      </c>
      <c r="E172" s="4" t="s">
        <v>2491</v>
      </c>
      <c r="F172" s="6">
        <v>14277629</v>
      </c>
      <c r="G172" s="3">
        <v>14277629</v>
      </c>
      <c r="H172" s="7">
        <v>762120162364</v>
      </c>
      <c r="I172" s="8" t="s">
        <v>3240</v>
      </c>
      <c r="J172" s="4">
        <v>1</v>
      </c>
      <c r="K172" s="9">
        <v>11.99</v>
      </c>
      <c r="L172" s="9">
        <v>11.99</v>
      </c>
      <c r="M172" s="4" t="s">
        <v>2631</v>
      </c>
      <c r="N172" s="4" t="s">
        <v>2632</v>
      </c>
      <c r="O172" s="4" t="s">
        <v>2629</v>
      </c>
      <c r="P172" s="4" t="s">
        <v>2602</v>
      </c>
      <c r="Q172" s="4" t="s">
        <v>2528</v>
      </c>
      <c r="R172" s="4"/>
      <c r="S172" s="4"/>
      <c r="T172" s="4" t="str">
        <f>HYPERLINK("http://slimages.macys.com/is/image/MCY/20819683 ")</f>
        <v xml:space="preserve">http://slimages.macys.com/is/image/MCY/20819683 </v>
      </c>
    </row>
    <row r="173" spans="1:20" ht="15" customHeight="1" x14ac:dyDescent="0.25">
      <c r="A173" s="4" t="s">
        <v>2489</v>
      </c>
      <c r="B173" s="2" t="s">
        <v>2487</v>
      </c>
      <c r="C173" s="2" t="s">
        <v>2488</v>
      </c>
      <c r="D173" s="5" t="s">
        <v>2490</v>
      </c>
      <c r="E173" s="4" t="s">
        <v>2491</v>
      </c>
      <c r="F173" s="6">
        <v>14277629</v>
      </c>
      <c r="G173" s="3">
        <v>14277629</v>
      </c>
      <c r="H173" s="7">
        <v>762120087261</v>
      </c>
      <c r="I173" s="8" t="s">
        <v>3151</v>
      </c>
      <c r="J173" s="4">
        <v>2</v>
      </c>
      <c r="K173" s="9">
        <v>11.99</v>
      </c>
      <c r="L173" s="9">
        <v>23.98</v>
      </c>
      <c r="M173" s="4" t="s">
        <v>3045</v>
      </c>
      <c r="N173" s="4" t="s">
        <v>2567</v>
      </c>
      <c r="O173" s="4" t="s">
        <v>2628</v>
      </c>
      <c r="P173" s="4" t="s">
        <v>2602</v>
      </c>
      <c r="Q173" s="4" t="s">
        <v>2528</v>
      </c>
      <c r="R173" s="4"/>
      <c r="S173" s="4"/>
      <c r="T173" s="4" t="str">
        <f>HYPERLINK("http://slimages.macys.com/is/image/MCY/20691889 ")</f>
        <v xml:space="preserve">http://slimages.macys.com/is/image/MCY/20691889 </v>
      </c>
    </row>
    <row r="174" spans="1:20" ht="15" customHeight="1" x14ac:dyDescent="0.25">
      <c r="A174" s="4" t="s">
        <v>2489</v>
      </c>
      <c r="B174" s="2" t="s">
        <v>2487</v>
      </c>
      <c r="C174" s="2" t="s">
        <v>2488</v>
      </c>
      <c r="D174" s="5" t="s">
        <v>2490</v>
      </c>
      <c r="E174" s="4" t="s">
        <v>2491</v>
      </c>
      <c r="F174" s="6">
        <v>14277629</v>
      </c>
      <c r="G174" s="3">
        <v>14277629</v>
      </c>
      <c r="H174" s="7">
        <v>889799981444</v>
      </c>
      <c r="I174" s="8" t="s">
        <v>2117</v>
      </c>
      <c r="J174" s="4">
        <v>1</v>
      </c>
      <c r="K174" s="9">
        <v>17.989999999999998</v>
      </c>
      <c r="L174" s="9">
        <v>17.989999999999998</v>
      </c>
      <c r="M174" s="4" t="s">
        <v>1949</v>
      </c>
      <c r="N174" s="4" t="s">
        <v>2544</v>
      </c>
      <c r="O174" s="4" t="s">
        <v>2587</v>
      </c>
      <c r="P174" s="4" t="s">
        <v>2569</v>
      </c>
      <c r="Q174" s="4" t="s">
        <v>2570</v>
      </c>
      <c r="R174" s="4"/>
      <c r="S174" s="4"/>
      <c r="T174" s="4" t="str">
        <f>HYPERLINK("http://slimages.macys.com/is/image/MCY/20145302 ")</f>
        <v xml:space="preserve">http://slimages.macys.com/is/image/MCY/20145302 </v>
      </c>
    </row>
    <row r="175" spans="1:20" ht="15" customHeight="1" x14ac:dyDescent="0.25">
      <c r="A175" s="4" t="s">
        <v>2489</v>
      </c>
      <c r="B175" s="2" t="s">
        <v>2487</v>
      </c>
      <c r="C175" s="2" t="s">
        <v>2488</v>
      </c>
      <c r="D175" s="5" t="s">
        <v>2490</v>
      </c>
      <c r="E175" s="4" t="s">
        <v>2491</v>
      </c>
      <c r="F175" s="6">
        <v>14277629</v>
      </c>
      <c r="G175" s="3">
        <v>14277629</v>
      </c>
      <c r="H175" s="7">
        <v>733003926847</v>
      </c>
      <c r="I175" s="8" t="s">
        <v>3404</v>
      </c>
      <c r="J175" s="4">
        <v>1</v>
      </c>
      <c r="K175" s="9">
        <v>5.99</v>
      </c>
      <c r="L175" s="9">
        <v>5.99</v>
      </c>
      <c r="M175" s="4" t="s">
        <v>3401</v>
      </c>
      <c r="N175" s="4" t="s">
        <v>2518</v>
      </c>
      <c r="O175" s="4" t="s">
        <v>2566</v>
      </c>
      <c r="P175" s="4" t="s">
        <v>2503</v>
      </c>
      <c r="Q175" s="4" t="s">
        <v>2504</v>
      </c>
      <c r="R175" s="4"/>
      <c r="S175" s="4"/>
      <c r="T175" s="4" t="str">
        <f>HYPERLINK("http://slimages.macys.com/is/image/MCY/903950 ")</f>
        <v xml:space="preserve">http://slimages.macys.com/is/image/MCY/903950 </v>
      </c>
    </row>
    <row r="176" spans="1:20" ht="15" customHeight="1" x14ac:dyDescent="0.25">
      <c r="A176" s="4" t="s">
        <v>2489</v>
      </c>
      <c r="B176" s="2" t="s">
        <v>2487</v>
      </c>
      <c r="C176" s="2" t="s">
        <v>2488</v>
      </c>
      <c r="D176" s="5" t="s">
        <v>2490</v>
      </c>
      <c r="E176" s="4" t="s">
        <v>2491</v>
      </c>
      <c r="F176" s="6">
        <v>14277629</v>
      </c>
      <c r="G176" s="3">
        <v>14277629</v>
      </c>
      <c r="H176" s="7">
        <v>733004294631</v>
      </c>
      <c r="I176" s="8" t="s">
        <v>1312</v>
      </c>
      <c r="J176" s="4">
        <v>1</v>
      </c>
      <c r="K176" s="9">
        <v>28.99</v>
      </c>
      <c r="L176" s="9">
        <v>28.99</v>
      </c>
      <c r="M176" s="4" t="s">
        <v>1313</v>
      </c>
      <c r="N176" s="4" t="s">
        <v>2600</v>
      </c>
      <c r="O176" s="4"/>
      <c r="P176" s="4" t="s">
        <v>2503</v>
      </c>
      <c r="Q176" s="4" t="s">
        <v>2504</v>
      </c>
      <c r="R176" s="4"/>
      <c r="S176" s="4"/>
      <c r="T176" s="4" t="str">
        <f>HYPERLINK("http://slimages.macys.com/is/image/MCY/19754650 ")</f>
        <v xml:space="preserve">http://slimages.macys.com/is/image/MCY/19754650 </v>
      </c>
    </row>
    <row r="177" spans="1:20" ht="15" customHeight="1" x14ac:dyDescent="0.25">
      <c r="A177" s="4" t="s">
        <v>2489</v>
      </c>
      <c r="B177" s="2" t="s">
        <v>2487</v>
      </c>
      <c r="C177" s="2" t="s">
        <v>2488</v>
      </c>
      <c r="D177" s="5" t="s">
        <v>2490</v>
      </c>
      <c r="E177" s="4" t="s">
        <v>2491</v>
      </c>
      <c r="F177" s="6">
        <v>14277629</v>
      </c>
      <c r="G177" s="3">
        <v>14277629</v>
      </c>
      <c r="H177" s="7">
        <v>733004748660</v>
      </c>
      <c r="I177" s="8" t="s">
        <v>1314</v>
      </c>
      <c r="J177" s="4">
        <v>1</v>
      </c>
      <c r="K177" s="9">
        <v>7.99</v>
      </c>
      <c r="L177" s="9">
        <v>7.99</v>
      </c>
      <c r="M177" s="4" t="s">
        <v>1315</v>
      </c>
      <c r="N177" s="4" t="s">
        <v>2571</v>
      </c>
      <c r="O177" s="4" t="s">
        <v>2650</v>
      </c>
      <c r="P177" s="4" t="s">
        <v>2503</v>
      </c>
      <c r="Q177" s="4" t="s">
        <v>2504</v>
      </c>
      <c r="R177" s="4"/>
      <c r="S177" s="4"/>
      <c r="T177" s="4" t="str">
        <f>HYPERLINK("http://slimages.macys.com/is/image/MCY/19977785 ")</f>
        <v xml:space="preserve">http://slimages.macys.com/is/image/MCY/19977785 </v>
      </c>
    </row>
    <row r="178" spans="1:20" ht="15" customHeight="1" x14ac:dyDescent="0.25">
      <c r="A178" s="4" t="s">
        <v>2489</v>
      </c>
      <c r="B178" s="2" t="s">
        <v>2487</v>
      </c>
      <c r="C178" s="2" t="s">
        <v>2488</v>
      </c>
      <c r="D178" s="5" t="s">
        <v>2490</v>
      </c>
      <c r="E178" s="4" t="s">
        <v>2491</v>
      </c>
      <c r="F178" s="6">
        <v>14277629</v>
      </c>
      <c r="G178" s="3">
        <v>14277629</v>
      </c>
      <c r="H178" s="7">
        <v>807421063801</v>
      </c>
      <c r="I178" s="8" t="s">
        <v>1316</v>
      </c>
      <c r="J178" s="4">
        <v>1</v>
      </c>
      <c r="K178" s="9">
        <v>35</v>
      </c>
      <c r="L178" s="9">
        <v>35</v>
      </c>
      <c r="M178" s="4" t="s">
        <v>1317</v>
      </c>
      <c r="N178" s="4" t="s">
        <v>2567</v>
      </c>
      <c r="O178" s="4" t="s">
        <v>2519</v>
      </c>
      <c r="P178" s="4" t="s">
        <v>2725</v>
      </c>
      <c r="Q178" s="4" t="s">
        <v>1280</v>
      </c>
      <c r="R178" s="4"/>
      <c r="S178" s="4"/>
      <c r="T178" s="4" t="str">
        <f>HYPERLINK("http://slimages.macys.com/is/image/MCY/19770589 ")</f>
        <v xml:space="preserve">http://slimages.macys.com/is/image/MCY/19770589 </v>
      </c>
    </row>
    <row r="179" spans="1:20" ht="15" customHeight="1" x14ac:dyDescent="0.25">
      <c r="A179" s="4" t="s">
        <v>2489</v>
      </c>
      <c r="B179" s="2" t="s">
        <v>2487</v>
      </c>
      <c r="C179" s="2" t="s">
        <v>2488</v>
      </c>
      <c r="D179" s="5" t="s">
        <v>2490</v>
      </c>
      <c r="E179" s="4" t="s">
        <v>2491</v>
      </c>
      <c r="F179" s="6">
        <v>14277629</v>
      </c>
      <c r="G179" s="3">
        <v>14277629</v>
      </c>
      <c r="H179" s="7">
        <v>840144218837</v>
      </c>
      <c r="I179" s="8" t="s">
        <v>1318</v>
      </c>
      <c r="J179" s="4">
        <v>1</v>
      </c>
      <c r="K179" s="9">
        <v>12.99</v>
      </c>
      <c r="L179" s="9">
        <v>12.99</v>
      </c>
      <c r="M179" s="4" t="s">
        <v>1319</v>
      </c>
      <c r="N179" s="4"/>
      <c r="O179" s="4" t="s">
        <v>2669</v>
      </c>
      <c r="P179" s="4" t="s">
        <v>2539</v>
      </c>
      <c r="Q179" s="4" t="s">
        <v>2670</v>
      </c>
      <c r="R179" s="4"/>
      <c r="S179" s="4"/>
      <c r="T179" s="4" t="str">
        <f>HYPERLINK("http://slimages.macys.com/is/image/MCY/20138281 ")</f>
        <v xml:space="preserve">http://slimages.macys.com/is/image/MCY/20138281 </v>
      </c>
    </row>
    <row r="180" spans="1:20" ht="15" customHeight="1" x14ac:dyDescent="0.25">
      <c r="A180" s="4" t="s">
        <v>2489</v>
      </c>
      <c r="B180" s="2" t="s">
        <v>2487</v>
      </c>
      <c r="C180" s="2" t="s">
        <v>2488</v>
      </c>
      <c r="D180" s="5" t="s">
        <v>2490</v>
      </c>
      <c r="E180" s="4" t="s">
        <v>2491</v>
      </c>
      <c r="F180" s="6">
        <v>14277629</v>
      </c>
      <c r="G180" s="3">
        <v>14277629</v>
      </c>
      <c r="H180" s="7">
        <v>195958099623</v>
      </c>
      <c r="I180" s="8" t="s">
        <v>1320</v>
      </c>
      <c r="J180" s="4">
        <v>8</v>
      </c>
      <c r="K180" s="9">
        <v>49.5</v>
      </c>
      <c r="L180" s="9">
        <v>396</v>
      </c>
      <c r="M180" s="4" t="s">
        <v>2348</v>
      </c>
      <c r="N180" s="4" t="s">
        <v>2508</v>
      </c>
      <c r="O180" s="4"/>
      <c r="P180" s="4" t="s">
        <v>2985</v>
      </c>
      <c r="Q180" s="4" t="s">
        <v>2715</v>
      </c>
      <c r="R180" s="4"/>
      <c r="S180" s="4"/>
      <c r="T180" s="4" t="str">
        <f>HYPERLINK("http://slimages.macys.com/is/image/MCY/20108582 ")</f>
        <v xml:space="preserve">http://slimages.macys.com/is/image/MCY/20108582 </v>
      </c>
    </row>
    <row r="181" spans="1:20" ht="15" customHeight="1" x14ac:dyDescent="0.25">
      <c r="A181" s="4" t="s">
        <v>2489</v>
      </c>
      <c r="B181" s="2" t="s">
        <v>2487</v>
      </c>
      <c r="C181" s="2" t="s">
        <v>2488</v>
      </c>
      <c r="D181" s="5" t="s">
        <v>2490</v>
      </c>
      <c r="E181" s="4" t="s">
        <v>2491</v>
      </c>
      <c r="F181" s="6">
        <v>14277629</v>
      </c>
      <c r="G181" s="3">
        <v>14277629</v>
      </c>
      <c r="H181" s="7">
        <v>192042719207</v>
      </c>
      <c r="I181" s="8" t="s">
        <v>1321</v>
      </c>
      <c r="J181" s="4">
        <v>1</v>
      </c>
      <c r="K181" s="9">
        <v>37.5</v>
      </c>
      <c r="L181" s="9">
        <v>37.5</v>
      </c>
      <c r="M181" s="4" t="s">
        <v>1322</v>
      </c>
      <c r="N181" s="4" t="s">
        <v>2523</v>
      </c>
      <c r="O181" s="4" t="s">
        <v>2653</v>
      </c>
      <c r="P181" s="4" t="s">
        <v>2876</v>
      </c>
      <c r="Q181" s="4" t="s">
        <v>2877</v>
      </c>
      <c r="R181" s="4" t="s">
        <v>2552</v>
      </c>
      <c r="S181" s="4" t="s">
        <v>2721</v>
      </c>
      <c r="T181" s="4" t="str">
        <f>HYPERLINK("http://slimages.macys.com/is/image/MCY/11437147 ")</f>
        <v xml:space="preserve">http://slimages.macys.com/is/image/MCY/11437147 </v>
      </c>
    </row>
    <row r="182" spans="1:20" ht="15" customHeight="1" x14ac:dyDescent="0.25">
      <c r="A182" s="4" t="s">
        <v>2489</v>
      </c>
      <c r="B182" s="2" t="s">
        <v>2487</v>
      </c>
      <c r="C182" s="2" t="s">
        <v>2488</v>
      </c>
      <c r="D182" s="5" t="s">
        <v>2490</v>
      </c>
      <c r="E182" s="4" t="s">
        <v>2491</v>
      </c>
      <c r="F182" s="6">
        <v>14277629</v>
      </c>
      <c r="G182" s="3">
        <v>14277629</v>
      </c>
      <c r="H182" s="7">
        <v>195883460734</v>
      </c>
      <c r="I182" s="8" t="s">
        <v>1323</v>
      </c>
      <c r="J182" s="4">
        <v>1</v>
      </c>
      <c r="K182" s="9">
        <v>10.99</v>
      </c>
      <c r="L182" s="9">
        <v>10.99</v>
      </c>
      <c r="M182" s="4" t="s">
        <v>1324</v>
      </c>
      <c r="N182" s="4" t="s">
        <v>2804</v>
      </c>
      <c r="O182" s="4" t="s">
        <v>2705</v>
      </c>
      <c r="P182" s="4" t="s">
        <v>2536</v>
      </c>
      <c r="Q182" s="4" t="s">
        <v>2944</v>
      </c>
      <c r="R182" s="4"/>
      <c r="S182" s="4"/>
      <c r="T182" s="4" t="str">
        <f>HYPERLINK("http://slimages.macys.com/is/image/MCY/20191107 ")</f>
        <v xml:space="preserve">http://slimages.macys.com/is/image/MCY/20191107 </v>
      </c>
    </row>
    <row r="183" spans="1:20" ht="15" customHeight="1" x14ac:dyDescent="0.25">
      <c r="A183" s="4" t="s">
        <v>2489</v>
      </c>
      <c r="B183" s="2" t="s">
        <v>2487</v>
      </c>
      <c r="C183" s="2" t="s">
        <v>2488</v>
      </c>
      <c r="D183" s="5" t="s">
        <v>2490</v>
      </c>
      <c r="E183" s="4" t="s">
        <v>2491</v>
      </c>
      <c r="F183" s="6">
        <v>14277629</v>
      </c>
      <c r="G183" s="3">
        <v>14277629</v>
      </c>
      <c r="H183" s="7">
        <v>195883460710</v>
      </c>
      <c r="I183" s="8" t="s">
        <v>1325</v>
      </c>
      <c r="J183" s="4">
        <v>1</v>
      </c>
      <c r="K183" s="9">
        <v>10.99</v>
      </c>
      <c r="L183" s="9">
        <v>10.99</v>
      </c>
      <c r="M183" s="4" t="s">
        <v>3209</v>
      </c>
      <c r="N183" s="4" t="s">
        <v>2514</v>
      </c>
      <c r="O183" s="4">
        <v>6</v>
      </c>
      <c r="P183" s="4" t="s">
        <v>2536</v>
      </c>
      <c r="Q183" s="4" t="s">
        <v>2944</v>
      </c>
      <c r="R183" s="4"/>
      <c r="S183" s="4"/>
      <c r="T183" s="4" t="str">
        <f>HYPERLINK("http://slimages.macys.com/is/image/MCY/20191105 ")</f>
        <v xml:space="preserve">http://slimages.macys.com/is/image/MCY/20191105 </v>
      </c>
    </row>
    <row r="184" spans="1:20" ht="15" customHeight="1" x14ac:dyDescent="0.25">
      <c r="A184" s="4" t="s">
        <v>2489</v>
      </c>
      <c r="B184" s="2" t="s">
        <v>2487</v>
      </c>
      <c r="C184" s="2" t="s">
        <v>2488</v>
      </c>
      <c r="D184" s="5" t="s">
        <v>2490</v>
      </c>
      <c r="E184" s="4" t="s">
        <v>2491</v>
      </c>
      <c r="F184" s="6">
        <v>14277629</v>
      </c>
      <c r="G184" s="3">
        <v>14277629</v>
      </c>
      <c r="H184" s="7">
        <v>733004291029</v>
      </c>
      <c r="I184" s="8" t="s">
        <v>1326</v>
      </c>
      <c r="J184" s="4">
        <v>2</v>
      </c>
      <c r="K184" s="9">
        <v>7.99</v>
      </c>
      <c r="L184" s="9">
        <v>15.98</v>
      </c>
      <c r="M184" s="4" t="s">
        <v>1190</v>
      </c>
      <c r="N184" s="4" t="s">
        <v>2665</v>
      </c>
      <c r="O184" s="4" t="s">
        <v>2650</v>
      </c>
      <c r="P184" s="4" t="s">
        <v>2503</v>
      </c>
      <c r="Q184" s="4" t="s">
        <v>2504</v>
      </c>
      <c r="R184" s="4"/>
      <c r="S184" s="4"/>
      <c r="T184" s="4" t="str">
        <f>HYPERLINK("http://slimages.macys.com/is/image/MCY/19746550 ")</f>
        <v xml:space="preserve">http://slimages.macys.com/is/image/MCY/19746550 </v>
      </c>
    </row>
    <row r="185" spans="1:20" ht="15" customHeight="1" x14ac:dyDescent="0.25">
      <c r="A185" s="4" t="s">
        <v>2489</v>
      </c>
      <c r="B185" s="2" t="s">
        <v>2487</v>
      </c>
      <c r="C185" s="2" t="s">
        <v>2488</v>
      </c>
      <c r="D185" s="5" t="s">
        <v>2490</v>
      </c>
      <c r="E185" s="4" t="s">
        <v>2491</v>
      </c>
      <c r="F185" s="6">
        <v>14277629</v>
      </c>
      <c r="G185" s="3">
        <v>14277629</v>
      </c>
      <c r="H185" s="7">
        <v>733004745041</v>
      </c>
      <c r="I185" s="8" t="s">
        <v>1327</v>
      </c>
      <c r="J185" s="4">
        <v>1</v>
      </c>
      <c r="K185" s="9">
        <v>7.99</v>
      </c>
      <c r="L185" s="9">
        <v>7.99</v>
      </c>
      <c r="M185" s="4" t="s">
        <v>1328</v>
      </c>
      <c r="N185" s="4" t="s">
        <v>2530</v>
      </c>
      <c r="O185" s="4" t="s">
        <v>2629</v>
      </c>
      <c r="P185" s="4" t="s">
        <v>2503</v>
      </c>
      <c r="Q185" s="4" t="s">
        <v>2504</v>
      </c>
      <c r="R185" s="4"/>
      <c r="S185" s="4"/>
      <c r="T185" s="4" t="str">
        <f>HYPERLINK("http://slimages.macys.com/is/image/MCY/19977781 ")</f>
        <v xml:space="preserve">http://slimages.macys.com/is/image/MCY/19977781 </v>
      </c>
    </row>
    <row r="186" spans="1:20" ht="15" customHeight="1" x14ac:dyDescent="0.25">
      <c r="A186" s="4" t="s">
        <v>2489</v>
      </c>
      <c r="B186" s="2" t="s">
        <v>2487</v>
      </c>
      <c r="C186" s="2" t="s">
        <v>2488</v>
      </c>
      <c r="D186" s="5" t="s">
        <v>2490</v>
      </c>
      <c r="E186" s="4" t="s">
        <v>2491</v>
      </c>
      <c r="F186" s="6">
        <v>14277629</v>
      </c>
      <c r="G186" s="3">
        <v>14277629</v>
      </c>
      <c r="H186" s="7">
        <v>762120162524</v>
      </c>
      <c r="I186" s="8" t="s">
        <v>2167</v>
      </c>
      <c r="J186" s="4">
        <v>2</v>
      </c>
      <c r="K186" s="9">
        <v>7.99</v>
      </c>
      <c r="L186" s="9">
        <v>15.98</v>
      </c>
      <c r="M186" s="4" t="s">
        <v>1178</v>
      </c>
      <c r="N186" s="4" t="s">
        <v>2514</v>
      </c>
      <c r="O186" s="4">
        <v>6</v>
      </c>
      <c r="P186" s="4" t="s">
        <v>2602</v>
      </c>
      <c r="Q186" s="4" t="s">
        <v>2528</v>
      </c>
      <c r="R186" s="4"/>
      <c r="S186" s="4"/>
      <c r="T186" s="4" t="str">
        <f>HYPERLINK("http://slimages.macys.com/is/image/MCY/20819693 ")</f>
        <v xml:space="preserve">http://slimages.macys.com/is/image/MCY/20819693 </v>
      </c>
    </row>
    <row r="187" spans="1:20" ht="15" customHeight="1" x14ac:dyDescent="0.25">
      <c r="A187" s="4" t="s">
        <v>2489</v>
      </c>
      <c r="B187" s="2" t="s">
        <v>2487</v>
      </c>
      <c r="C187" s="2" t="s">
        <v>2488</v>
      </c>
      <c r="D187" s="5" t="s">
        <v>2490</v>
      </c>
      <c r="E187" s="4" t="s">
        <v>2491</v>
      </c>
      <c r="F187" s="6">
        <v>14277629</v>
      </c>
      <c r="G187" s="3">
        <v>14277629</v>
      </c>
      <c r="H187" s="7">
        <v>733004782732</v>
      </c>
      <c r="I187" s="8" t="s">
        <v>1329</v>
      </c>
      <c r="J187" s="4">
        <v>1</v>
      </c>
      <c r="K187" s="9">
        <v>7.99</v>
      </c>
      <c r="L187" s="9">
        <v>7.99</v>
      </c>
      <c r="M187" s="4" t="s">
        <v>1810</v>
      </c>
      <c r="N187" s="4" t="s">
        <v>2561</v>
      </c>
      <c r="O187" s="4" t="s">
        <v>2650</v>
      </c>
      <c r="P187" s="4" t="s">
        <v>2602</v>
      </c>
      <c r="Q187" s="4" t="s">
        <v>2528</v>
      </c>
      <c r="R187" s="4"/>
      <c r="S187" s="4"/>
      <c r="T187" s="4" t="str">
        <f>HYPERLINK("http://slimages.macys.com/is/image/MCY/20450194 ")</f>
        <v xml:space="preserve">http://slimages.macys.com/is/image/MCY/20450194 </v>
      </c>
    </row>
    <row r="188" spans="1:20" ht="15" customHeight="1" x14ac:dyDescent="0.25">
      <c r="A188" s="4" t="s">
        <v>2489</v>
      </c>
      <c r="B188" s="2" t="s">
        <v>2487</v>
      </c>
      <c r="C188" s="2" t="s">
        <v>2488</v>
      </c>
      <c r="D188" s="5" t="s">
        <v>2490</v>
      </c>
      <c r="E188" s="4" t="s">
        <v>2491</v>
      </c>
      <c r="F188" s="6">
        <v>14277629</v>
      </c>
      <c r="G188" s="3">
        <v>14277629</v>
      </c>
      <c r="H188" s="7">
        <v>762120085151</v>
      </c>
      <c r="I188" s="8" t="s">
        <v>1330</v>
      </c>
      <c r="J188" s="4">
        <v>1</v>
      </c>
      <c r="K188" s="9">
        <v>7.99</v>
      </c>
      <c r="L188" s="9">
        <v>7.99</v>
      </c>
      <c r="M188" s="4" t="s">
        <v>1331</v>
      </c>
      <c r="N188" s="4" t="s">
        <v>2497</v>
      </c>
      <c r="O188" s="4" t="s">
        <v>2653</v>
      </c>
      <c r="P188" s="4" t="s">
        <v>2602</v>
      </c>
      <c r="Q188" s="4" t="s">
        <v>2528</v>
      </c>
      <c r="R188" s="4"/>
      <c r="S188" s="4"/>
      <c r="T188" s="4" t="str">
        <f>HYPERLINK("http://slimages.macys.com/is/image/MCY/20691802 ")</f>
        <v xml:space="preserve">http://slimages.macys.com/is/image/MCY/20691802 </v>
      </c>
    </row>
    <row r="189" spans="1:20" ht="15" customHeight="1" x14ac:dyDescent="0.25">
      <c r="A189" s="4" t="s">
        <v>2489</v>
      </c>
      <c r="B189" s="2" t="s">
        <v>2487</v>
      </c>
      <c r="C189" s="2" t="s">
        <v>2488</v>
      </c>
      <c r="D189" s="5" t="s">
        <v>2490</v>
      </c>
      <c r="E189" s="4" t="s">
        <v>2491</v>
      </c>
      <c r="F189" s="6">
        <v>14277629</v>
      </c>
      <c r="G189" s="3">
        <v>14277629</v>
      </c>
      <c r="H189" s="7">
        <v>762120087490</v>
      </c>
      <c r="I189" s="8" t="s">
        <v>3418</v>
      </c>
      <c r="J189" s="4">
        <v>1</v>
      </c>
      <c r="K189" s="9">
        <v>7.99</v>
      </c>
      <c r="L189" s="9">
        <v>7.99</v>
      </c>
      <c r="M189" s="4" t="s">
        <v>1332</v>
      </c>
      <c r="N189" s="4" t="s">
        <v>2492</v>
      </c>
      <c r="O189" s="4" t="s">
        <v>2629</v>
      </c>
      <c r="P189" s="4" t="s">
        <v>2602</v>
      </c>
      <c r="Q189" s="4" t="s">
        <v>2528</v>
      </c>
      <c r="R189" s="4"/>
      <c r="S189" s="4"/>
      <c r="T189" s="4" t="str">
        <f>HYPERLINK("http://slimages.macys.com/is/image/MCY/20691905 ")</f>
        <v xml:space="preserve">http://slimages.macys.com/is/image/MCY/20691905 </v>
      </c>
    </row>
    <row r="190" spans="1:20" ht="15" customHeight="1" x14ac:dyDescent="0.25">
      <c r="A190" s="4" t="s">
        <v>2489</v>
      </c>
      <c r="B190" s="2" t="s">
        <v>2487</v>
      </c>
      <c r="C190" s="2" t="s">
        <v>2488</v>
      </c>
      <c r="D190" s="5" t="s">
        <v>2490</v>
      </c>
      <c r="E190" s="4" t="s">
        <v>2491</v>
      </c>
      <c r="F190" s="6">
        <v>14277629</v>
      </c>
      <c r="G190" s="3">
        <v>14277629</v>
      </c>
      <c r="H190" s="7">
        <v>733003581145</v>
      </c>
      <c r="I190" s="8" t="s">
        <v>3444</v>
      </c>
      <c r="J190" s="4">
        <v>1</v>
      </c>
      <c r="K190" s="9">
        <v>11.99</v>
      </c>
      <c r="L190" s="9">
        <v>11.99</v>
      </c>
      <c r="M190" s="4" t="s">
        <v>3445</v>
      </c>
      <c r="N190" s="4" t="s">
        <v>2531</v>
      </c>
      <c r="O190" s="4" t="s">
        <v>2601</v>
      </c>
      <c r="P190" s="4" t="s">
        <v>2503</v>
      </c>
      <c r="Q190" s="4" t="s">
        <v>2504</v>
      </c>
      <c r="R190" s="4"/>
      <c r="S190" s="4"/>
      <c r="T190" s="4" t="str">
        <f>HYPERLINK("http://slimages.macys.com/is/image/MCY/19589137 ")</f>
        <v xml:space="preserve">http://slimages.macys.com/is/image/MCY/19589137 </v>
      </c>
    </row>
    <row r="191" spans="1:20" ht="15" customHeight="1" x14ac:dyDescent="0.25">
      <c r="A191" s="4" t="s">
        <v>2489</v>
      </c>
      <c r="B191" s="2" t="s">
        <v>2487</v>
      </c>
      <c r="C191" s="2" t="s">
        <v>2488</v>
      </c>
      <c r="D191" s="5" t="s">
        <v>2490</v>
      </c>
      <c r="E191" s="4" t="s">
        <v>2491</v>
      </c>
      <c r="F191" s="6">
        <v>14277629</v>
      </c>
      <c r="G191" s="3">
        <v>14277629</v>
      </c>
      <c r="H191" s="7">
        <v>733004920011</v>
      </c>
      <c r="I191" s="8" t="s">
        <v>1333</v>
      </c>
      <c r="J191" s="4">
        <v>1</v>
      </c>
      <c r="K191" s="9">
        <v>7.99</v>
      </c>
      <c r="L191" s="9">
        <v>7.99</v>
      </c>
      <c r="M191" s="4" t="s">
        <v>1334</v>
      </c>
      <c r="N191" s="4" t="s">
        <v>2561</v>
      </c>
      <c r="O191" s="4" t="s">
        <v>2628</v>
      </c>
      <c r="P191" s="4" t="s">
        <v>2503</v>
      </c>
      <c r="Q191" s="4" t="s">
        <v>2504</v>
      </c>
      <c r="R191" s="4"/>
      <c r="S191" s="4"/>
      <c r="T191" s="4" t="str">
        <f>HYPERLINK("http://slimages.macys.com/is/image/MCY/19977844 ")</f>
        <v xml:space="preserve">http://slimages.macys.com/is/image/MCY/19977844 </v>
      </c>
    </row>
    <row r="192" spans="1:20" ht="15" customHeight="1" x14ac:dyDescent="0.25">
      <c r="A192" s="4" t="s">
        <v>2489</v>
      </c>
      <c r="B192" s="2" t="s">
        <v>2487</v>
      </c>
      <c r="C192" s="2" t="s">
        <v>2488</v>
      </c>
      <c r="D192" s="5" t="s">
        <v>2490</v>
      </c>
      <c r="E192" s="4" t="s">
        <v>2491</v>
      </c>
      <c r="F192" s="6">
        <v>14277629</v>
      </c>
      <c r="G192" s="3">
        <v>14277629</v>
      </c>
      <c r="H192" s="7">
        <v>762120121422</v>
      </c>
      <c r="I192" s="8" t="s">
        <v>1335</v>
      </c>
      <c r="J192" s="4">
        <v>1</v>
      </c>
      <c r="K192" s="9">
        <v>5.99</v>
      </c>
      <c r="L192" s="9">
        <v>5.99</v>
      </c>
      <c r="M192" s="4" t="s">
        <v>3395</v>
      </c>
      <c r="N192" s="4" t="s">
        <v>2501</v>
      </c>
      <c r="O192" s="4" t="s">
        <v>2493</v>
      </c>
      <c r="P192" s="4" t="s">
        <v>2503</v>
      </c>
      <c r="Q192" s="4" t="s">
        <v>2504</v>
      </c>
      <c r="R192" s="4"/>
      <c r="S192" s="4"/>
      <c r="T192" s="4" t="str">
        <f>HYPERLINK("http://slimages.macys.com/is/image/MCY/20385792 ")</f>
        <v xml:space="preserve">http://slimages.macys.com/is/image/MCY/20385792 </v>
      </c>
    </row>
    <row r="193" spans="1:20" ht="15" customHeight="1" x14ac:dyDescent="0.25">
      <c r="A193" s="4" t="s">
        <v>2489</v>
      </c>
      <c r="B193" s="2" t="s">
        <v>2487</v>
      </c>
      <c r="C193" s="2" t="s">
        <v>2488</v>
      </c>
      <c r="D193" s="5" t="s">
        <v>2490</v>
      </c>
      <c r="E193" s="4" t="s">
        <v>2491</v>
      </c>
      <c r="F193" s="6">
        <v>14277629</v>
      </c>
      <c r="G193" s="3">
        <v>14277629</v>
      </c>
      <c r="H193" s="7">
        <v>733004779091</v>
      </c>
      <c r="I193" s="8" t="s">
        <v>3292</v>
      </c>
      <c r="J193" s="4">
        <v>1</v>
      </c>
      <c r="K193" s="9">
        <v>7.99</v>
      </c>
      <c r="L193" s="9">
        <v>7.99</v>
      </c>
      <c r="M193" s="4" t="s">
        <v>2719</v>
      </c>
      <c r="N193" s="4" t="s">
        <v>2565</v>
      </c>
      <c r="O193" s="4" t="s">
        <v>2650</v>
      </c>
      <c r="P193" s="4" t="s">
        <v>2602</v>
      </c>
      <c r="Q193" s="4" t="s">
        <v>2528</v>
      </c>
      <c r="R193" s="4"/>
      <c r="S193" s="4"/>
      <c r="T193" s="4" t="str">
        <f>HYPERLINK("http://slimages.macys.com/is/image/MCY/20450156 ")</f>
        <v xml:space="preserve">http://slimages.macys.com/is/image/MCY/20450156 </v>
      </c>
    </row>
    <row r="194" spans="1:20" ht="15" customHeight="1" x14ac:dyDescent="0.25">
      <c r="A194" s="4" t="s">
        <v>2489</v>
      </c>
      <c r="B194" s="2" t="s">
        <v>2487</v>
      </c>
      <c r="C194" s="2" t="s">
        <v>2488</v>
      </c>
      <c r="D194" s="5" t="s">
        <v>2490</v>
      </c>
      <c r="E194" s="4" t="s">
        <v>2491</v>
      </c>
      <c r="F194" s="6">
        <v>14277629</v>
      </c>
      <c r="G194" s="3">
        <v>14277629</v>
      </c>
      <c r="H194" s="7">
        <v>762120017091</v>
      </c>
      <c r="I194" s="8" t="s">
        <v>1336</v>
      </c>
      <c r="J194" s="4">
        <v>2</v>
      </c>
      <c r="K194" s="9">
        <v>7.99</v>
      </c>
      <c r="L194" s="9">
        <v>15.98</v>
      </c>
      <c r="M194" s="4" t="s">
        <v>3439</v>
      </c>
      <c r="N194" s="4" t="s">
        <v>2565</v>
      </c>
      <c r="O194" s="4" t="s">
        <v>2628</v>
      </c>
      <c r="P194" s="4" t="s">
        <v>2503</v>
      </c>
      <c r="Q194" s="4" t="s">
        <v>2504</v>
      </c>
      <c r="R194" s="4"/>
      <c r="S194" s="4"/>
      <c r="T194" s="4" t="str">
        <f>HYPERLINK("http://slimages.macys.com/is/image/MCY/20436495 ")</f>
        <v xml:space="preserve">http://slimages.macys.com/is/image/MCY/20436495 </v>
      </c>
    </row>
    <row r="195" spans="1:20" ht="15" customHeight="1" x14ac:dyDescent="0.25">
      <c r="A195" s="4" t="s">
        <v>2489</v>
      </c>
      <c r="B195" s="2" t="s">
        <v>2487</v>
      </c>
      <c r="C195" s="2" t="s">
        <v>2488</v>
      </c>
      <c r="D195" s="5" t="s">
        <v>2490</v>
      </c>
      <c r="E195" s="4" t="s">
        <v>2491</v>
      </c>
      <c r="F195" s="6">
        <v>14277629</v>
      </c>
      <c r="G195" s="3">
        <v>14277629</v>
      </c>
      <c r="H195" s="7">
        <v>733004780066</v>
      </c>
      <c r="I195" s="8" t="s">
        <v>2837</v>
      </c>
      <c r="J195" s="4">
        <v>2</v>
      </c>
      <c r="K195" s="9">
        <v>7.99</v>
      </c>
      <c r="L195" s="9">
        <v>15.98</v>
      </c>
      <c r="M195" s="4" t="s">
        <v>2692</v>
      </c>
      <c r="N195" s="4" t="s">
        <v>2501</v>
      </c>
      <c r="O195" s="4">
        <v>6</v>
      </c>
      <c r="P195" s="4" t="s">
        <v>2602</v>
      </c>
      <c r="Q195" s="4" t="s">
        <v>2528</v>
      </c>
      <c r="R195" s="4"/>
      <c r="S195" s="4"/>
      <c r="T195" s="4" t="str">
        <f>HYPERLINK("http://slimages.macys.com/is/image/MCY/20450163 ")</f>
        <v xml:space="preserve">http://slimages.macys.com/is/image/MCY/20450163 </v>
      </c>
    </row>
    <row r="196" spans="1:20" ht="15" customHeight="1" x14ac:dyDescent="0.25">
      <c r="A196" s="4" t="s">
        <v>2489</v>
      </c>
      <c r="B196" s="2" t="s">
        <v>2487</v>
      </c>
      <c r="C196" s="2" t="s">
        <v>2488</v>
      </c>
      <c r="D196" s="5" t="s">
        <v>2490</v>
      </c>
      <c r="E196" s="4" t="s">
        <v>2491</v>
      </c>
      <c r="F196" s="6">
        <v>14277629</v>
      </c>
      <c r="G196" s="3">
        <v>14277629</v>
      </c>
      <c r="H196" s="7">
        <v>733004780097</v>
      </c>
      <c r="I196" s="8" t="s">
        <v>3218</v>
      </c>
      <c r="J196" s="4">
        <v>2</v>
      </c>
      <c r="K196" s="9">
        <v>7.99</v>
      </c>
      <c r="L196" s="9">
        <v>15.98</v>
      </c>
      <c r="M196" s="4" t="s">
        <v>2692</v>
      </c>
      <c r="N196" s="4" t="s">
        <v>2501</v>
      </c>
      <c r="O196" s="4" t="s">
        <v>2628</v>
      </c>
      <c r="P196" s="4" t="s">
        <v>2602</v>
      </c>
      <c r="Q196" s="4" t="s">
        <v>2528</v>
      </c>
      <c r="R196" s="4"/>
      <c r="S196" s="4"/>
      <c r="T196" s="4" t="str">
        <f>HYPERLINK("http://slimages.macys.com/is/image/MCY/20450163 ")</f>
        <v xml:space="preserve">http://slimages.macys.com/is/image/MCY/20450163 </v>
      </c>
    </row>
    <row r="197" spans="1:20" ht="15" customHeight="1" x14ac:dyDescent="0.25">
      <c r="A197" s="4" t="s">
        <v>2489</v>
      </c>
      <c r="B197" s="2" t="s">
        <v>2487</v>
      </c>
      <c r="C197" s="2" t="s">
        <v>2488</v>
      </c>
      <c r="D197" s="5" t="s">
        <v>2490</v>
      </c>
      <c r="E197" s="4" t="s">
        <v>2491</v>
      </c>
      <c r="F197" s="6">
        <v>14277629</v>
      </c>
      <c r="G197" s="3">
        <v>14277629</v>
      </c>
      <c r="H197" s="7">
        <v>733004780059</v>
      </c>
      <c r="I197" s="8" t="s">
        <v>2135</v>
      </c>
      <c r="J197" s="4">
        <v>2</v>
      </c>
      <c r="K197" s="9">
        <v>7.99</v>
      </c>
      <c r="L197" s="9">
        <v>15.98</v>
      </c>
      <c r="M197" s="4" t="s">
        <v>2692</v>
      </c>
      <c r="N197" s="4" t="s">
        <v>2501</v>
      </c>
      <c r="O197" s="4">
        <v>5</v>
      </c>
      <c r="P197" s="4" t="s">
        <v>2602</v>
      </c>
      <c r="Q197" s="4" t="s">
        <v>2528</v>
      </c>
      <c r="R197" s="4"/>
      <c r="S197" s="4"/>
      <c r="T197" s="4" t="str">
        <f>HYPERLINK("http://slimages.macys.com/is/image/MCY/20450163 ")</f>
        <v xml:space="preserve">http://slimages.macys.com/is/image/MCY/20450163 </v>
      </c>
    </row>
    <row r="198" spans="1:20" ht="15" customHeight="1" x14ac:dyDescent="0.25">
      <c r="A198" s="4" t="s">
        <v>2489</v>
      </c>
      <c r="B198" s="2" t="s">
        <v>2487</v>
      </c>
      <c r="C198" s="2" t="s">
        <v>2488</v>
      </c>
      <c r="D198" s="5" t="s">
        <v>2490</v>
      </c>
      <c r="E198" s="4" t="s">
        <v>2491</v>
      </c>
      <c r="F198" s="6">
        <v>14277629</v>
      </c>
      <c r="G198" s="3">
        <v>14277629</v>
      </c>
      <c r="H198" s="7">
        <v>733004780172</v>
      </c>
      <c r="I198" s="8" t="s">
        <v>1337</v>
      </c>
      <c r="J198" s="4">
        <v>2</v>
      </c>
      <c r="K198" s="9">
        <v>7.99</v>
      </c>
      <c r="L198" s="9">
        <v>15.98</v>
      </c>
      <c r="M198" s="4" t="s">
        <v>3149</v>
      </c>
      <c r="N198" s="4" t="s">
        <v>2638</v>
      </c>
      <c r="O198" s="4">
        <v>5</v>
      </c>
      <c r="P198" s="4" t="s">
        <v>2602</v>
      </c>
      <c r="Q198" s="4" t="s">
        <v>2528</v>
      </c>
      <c r="R198" s="4"/>
      <c r="S198" s="4"/>
      <c r="T198" s="4" t="str">
        <f>HYPERLINK("http://slimages.macys.com/is/image/MCY/20450168 ")</f>
        <v xml:space="preserve">http://slimages.macys.com/is/image/MCY/20450168 </v>
      </c>
    </row>
    <row r="199" spans="1:20" ht="15" customHeight="1" x14ac:dyDescent="0.25">
      <c r="A199" s="4" t="s">
        <v>2489</v>
      </c>
      <c r="B199" s="2" t="s">
        <v>2487</v>
      </c>
      <c r="C199" s="2" t="s">
        <v>2488</v>
      </c>
      <c r="D199" s="5" t="s">
        <v>2490</v>
      </c>
      <c r="E199" s="4" t="s">
        <v>2491</v>
      </c>
      <c r="F199" s="6">
        <v>14277629</v>
      </c>
      <c r="G199" s="3">
        <v>14277629</v>
      </c>
      <c r="H199" s="7">
        <v>762120020275</v>
      </c>
      <c r="I199" s="8" t="s">
        <v>1338</v>
      </c>
      <c r="J199" s="4">
        <v>1</v>
      </c>
      <c r="K199" s="9">
        <v>6.99</v>
      </c>
      <c r="L199" s="9">
        <v>6.99</v>
      </c>
      <c r="M199" s="4" t="s">
        <v>3235</v>
      </c>
      <c r="N199" s="4" t="s">
        <v>2565</v>
      </c>
      <c r="O199" s="4" t="s">
        <v>2493</v>
      </c>
      <c r="P199" s="4" t="s">
        <v>2503</v>
      </c>
      <c r="Q199" s="4" t="s">
        <v>2504</v>
      </c>
      <c r="R199" s="4"/>
      <c r="S199" s="4"/>
      <c r="T199" s="4" t="str">
        <f>HYPERLINK("http://slimages.macys.com/is/image/MCY/20436495 ")</f>
        <v xml:space="preserve">http://slimages.macys.com/is/image/MCY/20436495 </v>
      </c>
    </row>
    <row r="200" spans="1:20" ht="15" customHeight="1" x14ac:dyDescent="0.25">
      <c r="A200" s="4" t="s">
        <v>2489</v>
      </c>
      <c r="B200" s="2" t="s">
        <v>2487</v>
      </c>
      <c r="C200" s="2" t="s">
        <v>2488</v>
      </c>
      <c r="D200" s="5" t="s">
        <v>2490</v>
      </c>
      <c r="E200" s="4" t="s">
        <v>2491</v>
      </c>
      <c r="F200" s="6">
        <v>14277629</v>
      </c>
      <c r="G200" s="3">
        <v>14277629</v>
      </c>
      <c r="H200" s="7">
        <v>194257623454</v>
      </c>
      <c r="I200" s="8" t="s">
        <v>1339</v>
      </c>
      <c r="J200" s="4">
        <v>1</v>
      </c>
      <c r="K200" s="9">
        <v>16.989999999999998</v>
      </c>
      <c r="L200" s="9">
        <v>16.989999999999998</v>
      </c>
      <c r="M200" s="4" t="s">
        <v>1340</v>
      </c>
      <c r="N200" s="4" t="s">
        <v>2531</v>
      </c>
      <c r="O200" s="4">
        <v>7</v>
      </c>
      <c r="P200" s="4" t="s">
        <v>2499</v>
      </c>
      <c r="Q200" s="4" t="s">
        <v>2525</v>
      </c>
      <c r="R200" s="4"/>
      <c r="S200" s="4"/>
      <c r="T200" s="4" t="str">
        <f>HYPERLINK("http://slimages.macys.com/is/image/MCY/19921812 ")</f>
        <v xml:space="preserve">http://slimages.macys.com/is/image/MCY/19921812 </v>
      </c>
    </row>
    <row r="201" spans="1:20" ht="15" customHeight="1" x14ac:dyDescent="0.25">
      <c r="A201" s="4" t="s">
        <v>2489</v>
      </c>
      <c r="B201" s="2" t="s">
        <v>2487</v>
      </c>
      <c r="C201" s="2" t="s">
        <v>2488</v>
      </c>
      <c r="D201" s="5" t="s">
        <v>2490</v>
      </c>
      <c r="E201" s="4" t="s">
        <v>2491</v>
      </c>
      <c r="F201" s="6">
        <v>14277629</v>
      </c>
      <c r="G201" s="3">
        <v>14277629</v>
      </c>
      <c r="H201" s="7">
        <v>733002462865</v>
      </c>
      <c r="I201" s="8" t="s">
        <v>2605</v>
      </c>
      <c r="J201" s="4">
        <v>1</v>
      </c>
      <c r="K201" s="9">
        <v>6.99</v>
      </c>
      <c r="L201" s="9">
        <v>6.99</v>
      </c>
      <c r="M201" s="4" t="s">
        <v>2606</v>
      </c>
      <c r="N201" s="4" t="s">
        <v>2561</v>
      </c>
      <c r="O201" s="4" t="s">
        <v>2607</v>
      </c>
      <c r="P201" s="4" t="s">
        <v>2503</v>
      </c>
      <c r="Q201" s="4" t="s">
        <v>2504</v>
      </c>
      <c r="R201" s="4"/>
      <c r="S201" s="4"/>
      <c r="T201" s="4" t="str">
        <f>HYPERLINK("http://slimages.macys.com/is/image/MCY/18880380 ")</f>
        <v xml:space="preserve">http://slimages.macys.com/is/image/MCY/18880380 </v>
      </c>
    </row>
    <row r="202" spans="1:20" ht="15" customHeight="1" x14ac:dyDescent="0.25">
      <c r="A202" s="4" t="s">
        <v>2489</v>
      </c>
      <c r="B202" s="2" t="s">
        <v>2487</v>
      </c>
      <c r="C202" s="2" t="s">
        <v>2488</v>
      </c>
      <c r="D202" s="5" t="s">
        <v>2490</v>
      </c>
      <c r="E202" s="4" t="s">
        <v>2491</v>
      </c>
      <c r="F202" s="6">
        <v>14277629</v>
      </c>
      <c r="G202" s="3">
        <v>14277629</v>
      </c>
      <c r="H202" s="7">
        <v>194931204290</v>
      </c>
      <c r="I202" s="8" t="s">
        <v>1853</v>
      </c>
      <c r="J202" s="4">
        <v>2</v>
      </c>
      <c r="K202" s="9">
        <v>19.8</v>
      </c>
      <c r="L202" s="9">
        <v>39.6</v>
      </c>
      <c r="M202" s="4" t="s">
        <v>1854</v>
      </c>
      <c r="N202" s="4" t="s">
        <v>2682</v>
      </c>
      <c r="O202" s="4"/>
      <c r="P202" s="4" t="s">
        <v>2622</v>
      </c>
      <c r="Q202" s="4" t="s">
        <v>2643</v>
      </c>
      <c r="R202" s="4"/>
      <c r="S202" s="4"/>
      <c r="T202" s="4" t="str">
        <f>HYPERLINK("http://slimages.macys.com/is/image/MCY/19992228 ")</f>
        <v xml:space="preserve">http://slimages.macys.com/is/image/MCY/19992228 </v>
      </c>
    </row>
    <row r="203" spans="1:20" ht="15" customHeight="1" x14ac:dyDescent="0.25">
      <c r="A203" s="4" t="s">
        <v>2489</v>
      </c>
      <c r="B203" s="2" t="s">
        <v>2487</v>
      </c>
      <c r="C203" s="2" t="s">
        <v>2488</v>
      </c>
      <c r="D203" s="5" t="s">
        <v>2490</v>
      </c>
      <c r="E203" s="4" t="s">
        <v>2491</v>
      </c>
      <c r="F203" s="6">
        <v>14277629</v>
      </c>
      <c r="G203" s="3">
        <v>14277629</v>
      </c>
      <c r="H203" s="7">
        <v>633716899943</v>
      </c>
      <c r="I203" s="8" t="s">
        <v>1341</v>
      </c>
      <c r="J203" s="4">
        <v>1</v>
      </c>
      <c r="K203" s="9">
        <v>29.99</v>
      </c>
      <c r="L203" s="9">
        <v>29.99</v>
      </c>
      <c r="M203" s="4" t="s">
        <v>3068</v>
      </c>
      <c r="N203" s="4" t="s">
        <v>2518</v>
      </c>
      <c r="O203" s="4">
        <v>10</v>
      </c>
      <c r="P203" s="4" t="s">
        <v>2564</v>
      </c>
      <c r="Q203" s="4" t="s">
        <v>2507</v>
      </c>
      <c r="R203" s="4"/>
      <c r="S203" s="4"/>
      <c r="T203" s="4" t="str">
        <f>HYPERLINK("http://slimages.macys.com/is/image/MCY/18125251 ")</f>
        <v xml:space="preserve">http://slimages.macys.com/is/image/MCY/18125251 </v>
      </c>
    </row>
    <row r="204" spans="1:20" ht="15" customHeight="1" x14ac:dyDescent="0.25">
      <c r="A204" s="4" t="s">
        <v>2489</v>
      </c>
      <c r="B204" s="2" t="s">
        <v>2487</v>
      </c>
      <c r="C204" s="2" t="s">
        <v>2488</v>
      </c>
      <c r="D204" s="5" t="s">
        <v>2490</v>
      </c>
      <c r="E204" s="4" t="s">
        <v>2491</v>
      </c>
      <c r="F204" s="6">
        <v>14277629</v>
      </c>
      <c r="G204" s="3">
        <v>14277629</v>
      </c>
      <c r="H204" s="7">
        <v>885031528965</v>
      </c>
      <c r="I204" s="8" t="s">
        <v>1342</v>
      </c>
      <c r="J204" s="4">
        <v>1</v>
      </c>
      <c r="K204" s="9">
        <v>45</v>
      </c>
      <c r="L204" s="9">
        <v>45</v>
      </c>
      <c r="M204" s="4">
        <v>323858780001</v>
      </c>
      <c r="N204" s="4" t="s">
        <v>2731</v>
      </c>
      <c r="O204" s="4" t="s">
        <v>2555</v>
      </c>
      <c r="P204" s="4" t="s">
        <v>2615</v>
      </c>
      <c r="Q204" s="4" t="s">
        <v>2616</v>
      </c>
      <c r="R204" s="4"/>
      <c r="S204" s="4"/>
      <c r="T204" s="4" t="str">
        <f>HYPERLINK("http://slimages.macys.com/is/image/MCY/20655397 ")</f>
        <v xml:space="preserve">http://slimages.macys.com/is/image/MCY/20655397 </v>
      </c>
    </row>
    <row r="205" spans="1:20" ht="15" customHeight="1" x14ac:dyDescent="0.25">
      <c r="A205" s="4" t="s">
        <v>2489</v>
      </c>
      <c r="B205" s="2" t="s">
        <v>2487</v>
      </c>
      <c r="C205" s="2" t="s">
        <v>2488</v>
      </c>
      <c r="D205" s="5" t="s">
        <v>2490</v>
      </c>
      <c r="E205" s="4" t="s">
        <v>2491</v>
      </c>
      <c r="F205" s="6">
        <v>14277629</v>
      </c>
      <c r="G205" s="3">
        <v>14277629</v>
      </c>
      <c r="H205" s="7">
        <v>762120113007</v>
      </c>
      <c r="I205" s="8" t="s">
        <v>2471</v>
      </c>
      <c r="J205" s="4">
        <v>3</v>
      </c>
      <c r="K205" s="9">
        <v>6.99</v>
      </c>
      <c r="L205" s="9">
        <v>20.97</v>
      </c>
      <c r="M205" s="4" t="s">
        <v>3332</v>
      </c>
      <c r="N205" s="4" t="s">
        <v>2571</v>
      </c>
      <c r="O205" s="4" t="s">
        <v>2493</v>
      </c>
      <c r="P205" s="4" t="s">
        <v>2503</v>
      </c>
      <c r="Q205" s="4" t="s">
        <v>2504</v>
      </c>
      <c r="R205" s="4"/>
      <c r="S205" s="4"/>
      <c r="T205" s="4" t="str">
        <f>HYPERLINK("http://slimages.macys.com/is/image/MCY/19976989 ")</f>
        <v xml:space="preserve">http://slimages.macys.com/is/image/MCY/19976989 </v>
      </c>
    </row>
    <row r="206" spans="1:20" ht="15" customHeight="1" x14ac:dyDescent="0.25">
      <c r="A206" s="4" t="s">
        <v>2489</v>
      </c>
      <c r="B206" s="2" t="s">
        <v>2487</v>
      </c>
      <c r="C206" s="2" t="s">
        <v>2488</v>
      </c>
      <c r="D206" s="5" t="s">
        <v>2490</v>
      </c>
      <c r="E206" s="4" t="s">
        <v>2491</v>
      </c>
      <c r="F206" s="6">
        <v>14277629</v>
      </c>
      <c r="G206" s="3">
        <v>14277629</v>
      </c>
      <c r="H206" s="7">
        <v>762120020152</v>
      </c>
      <c r="I206" s="8" t="s">
        <v>3234</v>
      </c>
      <c r="J206" s="4">
        <v>1</v>
      </c>
      <c r="K206" s="9">
        <v>6.99</v>
      </c>
      <c r="L206" s="9">
        <v>6.99</v>
      </c>
      <c r="M206" s="4" t="s">
        <v>3235</v>
      </c>
      <c r="N206" s="4" t="s">
        <v>2638</v>
      </c>
      <c r="O206" s="4" t="s">
        <v>2601</v>
      </c>
      <c r="P206" s="4" t="s">
        <v>2503</v>
      </c>
      <c r="Q206" s="4" t="s">
        <v>2504</v>
      </c>
      <c r="R206" s="4"/>
      <c r="S206" s="4"/>
      <c r="T206" s="4" t="str">
        <f>HYPERLINK("http://slimages.macys.com/is/image/MCY/20436495 ")</f>
        <v xml:space="preserve">http://slimages.macys.com/is/image/MCY/20436495 </v>
      </c>
    </row>
    <row r="207" spans="1:20" ht="15" customHeight="1" x14ac:dyDescent="0.25">
      <c r="A207" s="4" t="s">
        <v>2489</v>
      </c>
      <c r="B207" s="2" t="s">
        <v>2487</v>
      </c>
      <c r="C207" s="2" t="s">
        <v>2488</v>
      </c>
      <c r="D207" s="5" t="s">
        <v>2490</v>
      </c>
      <c r="E207" s="4" t="s">
        <v>2491</v>
      </c>
      <c r="F207" s="6">
        <v>14277629</v>
      </c>
      <c r="G207" s="3">
        <v>14277629</v>
      </c>
      <c r="H207" s="7">
        <v>195237815005</v>
      </c>
      <c r="I207" s="8" t="s">
        <v>1343</v>
      </c>
      <c r="J207" s="4">
        <v>1</v>
      </c>
      <c r="K207" s="9">
        <v>23.99</v>
      </c>
      <c r="L207" s="9">
        <v>23.99</v>
      </c>
      <c r="M207" s="4" t="s">
        <v>1257</v>
      </c>
      <c r="N207" s="4" t="s">
        <v>2893</v>
      </c>
      <c r="O207" s="4" t="s">
        <v>2519</v>
      </c>
      <c r="P207" s="4" t="s">
        <v>2499</v>
      </c>
      <c r="Q207" s="4" t="s">
        <v>2568</v>
      </c>
      <c r="R207" s="4"/>
      <c r="S207" s="4"/>
      <c r="T207" s="4" t="str">
        <f>HYPERLINK("http://slimages.macys.com/is/image/MCY/19545344 ")</f>
        <v xml:space="preserve">http://slimages.macys.com/is/image/MCY/19545344 </v>
      </c>
    </row>
    <row r="208" spans="1:20" ht="15" customHeight="1" x14ac:dyDescent="0.25">
      <c r="A208" s="4" t="s">
        <v>2489</v>
      </c>
      <c r="B208" s="2" t="s">
        <v>2487</v>
      </c>
      <c r="C208" s="2" t="s">
        <v>2488</v>
      </c>
      <c r="D208" s="5" t="s">
        <v>2490</v>
      </c>
      <c r="E208" s="4" t="s">
        <v>2491</v>
      </c>
      <c r="F208" s="6">
        <v>14277629</v>
      </c>
      <c r="G208" s="3">
        <v>14277629</v>
      </c>
      <c r="H208" s="7">
        <v>733004883699</v>
      </c>
      <c r="I208" s="8" t="s">
        <v>2423</v>
      </c>
      <c r="J208" s="4">
        <v>2</v>
      </c>
      <c r="K208" s="9">
        <v>6.99</v>
      </c>
      <c r="L208" s="9">
        <v>13.98</v>
      </c>
      <c r="M208" s="4" t="s">
        <v>2826</v>
      </c>
      <c r="N208" s="4" t="s">
        <v>2505</v>
      </c>
      <c r="O208" s="4" t="s">
        <v>2607</v>
      </c>
      <c r="P208" s="4" t="s">
        <v>2503</v>
      </c>
      <c r="Q208" s="4" t="s">
        <v>2504</v>
      </c>
      <c r="R208" s="4"/>
      <c r="S208" s="4"/>
      <c r="T208" s="4" t="str">
        <f>HYPERLINK("http://slimages.macys.com/is/image/MCY/1070793 ")</f>
        <v xml:space="preserve">http://slimages.macys.com/is/image/MCY/1070793 </v>
      </c>
    </row>
    <row r="209" spans="1:20" ht="15" customHeight="1" x14ac:dyDescent="0.25">
      <c r="A209" s="4" t="s">
        <v>2489</v>
      </c>
      <c r="B209" s="2" t="s">
        <v>2487</v>
      </c>
      <c r="C209" s="2" t="s">
        <v>2488</v>
      </c>
      <c r="D209" s="5" t="s">
        <v>2490</v>
      </c>
      <c r="E209" s="4" t="s">
        <v>2491</v>
      </c>
      <c r="F209" s="6">
        <v>14277629</v>
      </c>
      <c r="G209" s="3">
        <v>14277629</v>
      </c>
      <c r="H209" s="7">
        <v>733004085970</v>
      </c>
      <c r="I209" s="8" t="s">
        <v>1344</v>
      </c>
      <c r="J209" s="4">
        <v>1</v>
      </c>
      <c r="K209" s="9">
        <v>21.99</v>
      </c>
      <c r="L209" s="9">
        <v>21.99</v>
      </c>
      <c r="M209" s="4" t="s">
        <v>2038</v>
      </c>
      <c r="N209" s="4" t="s">
        <v>2567</v>
      </c>
      <c r="O209" s="4" t="s">
        <v>2498</v>
      </c>
      <c r="P209" s="4" t="s">
        <v>2543</v>
      </c>
      <c r="Q209" s="4" t="s">
        <v>2528</v>
      </c>
      <c r="R209" s="4"/>
      <c r="S209" s="4"/>
      <c r="T209" s="4" t="str">
        <f>HYPERLINK("http://slimages.macys.com/is/image/MCY/19965740 ")</f>
        <v xml:space="preserve">http://slimages.macys.com/is/image/MCY/19965740 </v>
      </c>
    </row>
    <row r="210" spans="1:20" ht="15" customHeight="1" x14ac:dyDescent="0.25">
      <c r="A210" s="4" t="s">
        <v>2489</v>
      </c>
      <c r="B210" s="2" t="s">
        <v>2487</v>
      </c>
      <c r="C210" s="2" t="s">
        <v>2488</v>
      </c>
      <c r="D210" s="5" t="s">
        <v>2490</v>
      </c>
      <c r="E210" s="4" t="s">
        <v>2491</v>
      </c>
      <c r="F210" s="6">
        <v>14277629</v>
      </c>
      <c r="G210" s="3">
        <v>14277629</v>
      </c>
      <c r="H210" s="7">
        <v>733004086045</v>
      </c>
      <c r="I210" s="8" t="s">
        <v>1345</v>
      </c>
      <c r="J210" s="4">
        <v>1</v>
      </c>
      <c r="K210" s="9">
        <v>21.99</v>
      </c>
      <c r="L210" s="9">
        <v>21.99</v>
      </c>
      <c r="M210" s="4" t="s">
        <v>1346</v>
      </c>
      <c r="N210" s="4" t="s">
        <v>2497</v>
      </c>
      <c r="O210" s="4" t="s">
        <v>2555</v>
      </c>
      <c r="P210" s="4" t="s">
        <v>2543</v>
      </c>
      <c r="Q210" s="4" t="s">
        <v>2528</v>
      </c>
      <c r="R210" s="4"/>
      <c r="S210" s="4"/>
      <c r="T210" s="4" t="str">
        <f>HYPERLINK("http://slimages.macys.com/is/image/MCY/19988447 ")</f>
        <v xml:space="preserve">http://slimages.macys.com/is/image/MCY/19988447 </v>
      </c>
    </row>
    <row r="211" spans="1:20" ht="15" customHeight="1" x14ac:dyDescent="0.25">
      <c r="A211" s="4" t="s">
        <v>2489</v>
      </c>
      <c r="B211" s="2" t="s">
        <v>2487</v>
      </c>
      <c r="C211" s="2" t="s">
        <v>2488</v>
      </c>
      <c r="D211" s="5" t="s">
        <v>2490</v>
      </c>
      <c r="E211" s="4" t="s">
        <v>2491</v>
      </c>
      <c r="F211" s="6">
        <v>14277629</v>
      </c>
      <c r="G211" s="3">
        <v>14277629</v>
      </c>
      <c r="H211" s="7">
        <v>696114426036</v>
      </c>
      <c r="I211" s="8" t="s">
        <v>3080</v>
      </c>
      <c r="J211" s="4">
        <v>1</v>
      </c>
      <c r="K211" s="9">
        <v>19.989999999999998</v>
      </c>
      <c r="L211" s="9">
        <v>19.989999999999998</v>
      </c>
      <c r="M211" s="4" t="s">
        <v>3081</v>
      </c>
      <c r="N211" s="4" t="s">
        <v>2611</v>
      </c>
      <c r="O211" s="4"/>
      <c r="P211" s="4" t="s">
        <v>2569</v>
      </c>
      <c r="Q211" s="4" t="s">
        <v>2679</v>
      </c>
      <c r="R211" s="4"/>
      <c r="S211" s="4"/>
      <c r="T211" s="4" t="str">
        <f>HYPERLINK("http://slimages.macys.com/is/image/MCY/20840499 ")</f>
        <v xml:space="preserve">http://slimages.macys.com/is/image/MCY/20840499 </v>
      </c>
    </row>
    <row r="212" spans="1:20" ht="15" customHeight="1" x14ac:dyDescent="0.25">
      <c r="A212" s="4" t="s">
        <v>2489</v>
      </c>
      <c r="B212" s="2" t="s">
        <v>2487</v>
      </c>
      <c r="C212" s="2" t="s">
        <v>2488</v>
      </c>
      <c r="D212" s="5" t="s">
        <v>2490</v>
      </c>
      <c r="E212" s="4" t="s">
        <v>2491</v>
      </c>
      <c r="F212" s="6">
        <v>14277629</v>
      </c>
      <c r="G212" s="3">
        <v>14277629</v>
      </c>
      <c r="H212" s="7">
        <v>762120162395</v>
      </c>
      <c r="I212" s="8" t="s">
        <v>1149</v>
      </c>
      <c r="J212" s="4">
        <v>1</v>
      </c>
      <c r="K212" s="9">
        <v>7.99</v>
      </c>
      <c r="L212" s="9">
        <v>7.99</v>
      </c>
      <c r="M212" s="4" t="s">
        <v>2033</v>
      </c>
      <c r="N212" s="4" t="s">
        <v>2632</v>
      </c>
      <c r="O212" s="4">
        <v>5</v>
      </c>
      <c r="P212" s="4" t="s">
        <v>2602</v>
      </c>
      <c r="Q212" s="4" t="s">
        <v>2528</v>
      </c>
      <c r="R212" s="4"/>
      <c r="S212" s="4"/>
      <c r="T212" s="4" t="str">
        <f>HYPERLINK("http://slimages.macys.com/is/image/MCY/20819685 ")</f>
        <v xml:space="preserve">http://slimages.macys.com/is/image/MCY/20819685 </v>
      </c>
    </row>
    <row r="213" spans="1:20" ht="15" customHeight="1" x14ac:dyDescent="0.25">
      <c r="A213" s="4" t="s">
        <v>2489</v>
      </c>
      <c r="B213" s="2" t="s">
        <v>2487</v>
      </c>
      <c r="C213" s="2" t="s">
        <v>2488</v>
      </c>
      <c r="D213" s="5" t="s">
        <v>2490</v>
      </c>
      <c r="E213" s="4" t="s">
        <v>2491</v>
      </c>
      <c r="F213" s="6">
        <v>14277629</v>
      </c>
      <c r="G213" s="3">
        <v>14277629</v>
      </c>
      <c r="H213" s="7">
        <v>194135410930</v>
      </c>
      <c r="I213" s="8" t="s">
        <v>1347</v>
      </c>
      <c r="J213" s="4">
        <v>1</v>
      </c>
      <c r="K213" s="9">
        <v>25.07</v>
      </c>
      <c r="L213" s="9">
        <v>25.07</v>
      </c>
      <c r="M213" s="4" t="s">
        <v>2839</v>
      </c>
      <c r="N213" s="4"/>
      <c r="O213" s="4" t="s">
        <v>2493</v>
      </c>
      <c r="P213" s="4" t="s">
        <v>2494</v>
      </c>
      <c r="Q213" s="4" t="s">
        <v>2560</v>
      </c>
      <c r="R213" s="4"/>
      <c r="S213" s="4"/>
      <c r="T213" s="4" t="str">
        <f>HYPERLINK("http://slimages.macys.com/is/image/MCY/19859763 ")</f>
        <v xml:space="preserve">http://slimages.macys.com/is/image/MCY/19859763 </v>
      </c>
    </row>
    <row r="214" spans="1:20" ht="15" customHeight="1" x14ac:dyDescent="0.25">
      <c r="A214" s="4" t="s">
        <v>2489</v>
      </c>
      <c r="B214" s="2" t="s">
        <v>2487</v>
      </c>
      <c r="C214" s="2" t="s">
        <v>2488</v>
      </c>
      <c r="D214" s="5" t="s">
        <v>2490</v>
      </c>
      <c r="E214" s="4" t="s">
        <v>2491</v>
      </c>
      <c r="F214" s="6">
        <v>14277629</v>
      </c>
      <c r="G214" s="3">
        <v>14277629</v>
      </c>
      <c r="H214" s="7">
        <v>762120113298</v>
      </c>
      <c r="I214" s="8" t="s">
        <v>1348</v>
      </c>
      <c r="J214" s="4">
        <v>2</v>
      </c>
      <c r="K214" s="9">
        <v>6.99</v>
      </c>
      <c r="L214" s="9">
        <v>13.98</v>
      </c>
      <c r="M214" s="4" t="s">
        <v>2660</v>
      </c>
      <c r="N214" s="4" t="s">
        <v>2598</v>
      </c>
      <c r="O214" s="4" t="s">
        <v>2502</v>
      </c>
      <c r="P214" s="4" t="s">
        <v>2503</v>
      </c>
      <c r="Q214" s="4" t="s">
        <v>2504</v>
      </c>
      <c r="R214" s="4"/>
      <c r="S214" s="4"/>
      <c r="T214" s="4" t="str">
        <f>HYPERLINK("http://slimages.macys.com/is/image/MCY/19977390 ")</f>
        <v xml:space="preserve">http://slimages.macys.com/is/image/MCY/19977390 </v>
      </c>
    </row>
    <row r="215" spans="1:20" ht="15" customHeight="1" x14ac:dyDescent="0.25">
      <c r="A215" s="4" t="s">
        <v>2489</v>
      </c>
      <c r="B215" s="2" t="s">
        <v>2487</v>
      </c>
      <c r="C215" s="2" t="s">
        <v>2488</v>
      </c>
      <c r="D215" s="5" t="s">
        <v>2490</v>
      </c>
      <c r="E215" s="4" t="s">
        <v>2491</v>
      </c>
      <c r="F215" s="6">
        <v>14277629</v>
      </c>
      <c r="G215" s="3">
        <v>14277629</v>
      </c>
      <c r="H215" s="7">
        <v>733004952906</v>
      </c>
      <c r="I215" s="8" t="s">
        <v>2697</v>
      </c>
      <c r="J215" s="4">
        <v>1</v>
      </c>
      <c r="K215" s="9">
        <v>13.99</v>
      </c>
      <c r="L215" s="9">
        <v>13.99</v>
      </c>
      <c r="M215" s="4" t="s">
        <v>2698</v>
      </c>
      <c r="N215" s="4" t="s">
        <v>2501</v>
      </c>
      <c r="O215" s="4"/>
      <c r="P215" s="4" t="s">
        <v>2503</v>
      </c>
      <c r="Q215" s="4" t="s">
        <v>2504</v>
      </c>
      <c r="R215" s="4"/>
      <c r="S215" s="4"/>
      <c r="T215" s="4" t="str">
        <f>HYPERLINK("http://slimages.macys.com/is/image/MCY/20142527 ")</f>
        <v xml:space="preserve">http://slimages.macys.com/is/image/MCY/20142527 </v>
      </c>
    </row>
    <row r="216" spans="1:20" ht="15" customHeight="1" x14ac:dyDescent="0.25">
      <c r="A216" s="4" t="s">
        <v>2489</v>
      </c>
      <c r="B216" s="2" t="s">
        <v>2487</v>
      </c>
      <c r="C216" s="2" t="s">
        <v>2488</v>
      </c>
      <c r="D216" s="5" t="s">
        <v>2490</v>
      </c>
      <c r="E216" s="4" t="s">
        <v>2491</v>
      </c>
      <c r="F216" s="6">
        <v>14277629</v>
      </c>
      <c r="G216" s="3">
        <v>14277629</v>
      </c>
      <c r="H216" s="7">
        <v>762120084680</v>
      </c>
      <c r="I216" s="8" t="s">
        <v>3418</v>
      </c>
      <c r="J216" s="4">
        <v>1</v>
      </c>
      <c r="K216" s="9">
        <v>7.99</v>
      </c>
      <c r="L216" s="9">
        <v>7.99</v>
      </c>
      <c r="M216" s="4" t="s">
        <v>3183</v>
      </c>
      <c r="N216" s="4" t="s">
        <v>2565</v>
      </c>
      <c r="O216" s="4" t="s">
        <v>2629</v>
      </c>
      <c r="P216" s="4" t="s">
        <v>2602</v>
      </c>
      <c r="Q216" s="4" t="s">
        <v>2528</v>
      </c>
      <c r="R216" s="4"/>
      <c r="S216" s="4"/>
      <c r="T216" s="4" t="str">
        <f>HYPERLINK("http://slimages.macys.com/is/image/MCY/1088549 ")</f>
        <v xml:space="preserve">http://slimages.macys.com/is/image/MCY/1088549 </v>
      </c>
    </row>
    <row r="217" spans="1:20" ht="15" customHeight="1" x14ac:dyDescent="0.25">
      <c r="A217" s="4" t="s">
        <v>2489</v>
      </c>
      <c r="B217" s="2" t="s">
        <v>2487</v>
      </c>
      <c r="C217" s="2" t="s">
        <v>2488</v>
      </c>
      <c r="D217" s="5" t="s">
        <v>2490</v>
      </c>
      <c r="E217" s="4" t="s">
        <v>2491</v>
      </c>
      <c r="F217" s="6">
        <v>14277629</v>
      </c>
      <c r="G217" s="3">
        <v>14277629</v>
      </c>
      <c r="H217" s="7">
        <v>733004293856</v>
      </c>
      <c r="I217" s="8" t="s">
        <v>1349</v>
      </c>
      <c r="J217" s="4">
        <v>1</v>
      </c>
      <c r="K217" s="9">
        <v>13.99</v>
      </c>
      <c r="L217" s="9">
        <v>13.99</v>
      </c>
      <c r="M217" s="4" t="s">
        <v>1267</v>
      </c>
      <c r="N217" s="4" t="s">
        <v>2600</v>
      </c>
      <c r="O217" s="4"/>
      <c r="P217" s="4" t="s">
        <v>2503</v>
      </c>
      <c r="Q217" s="4" t="s">
        <v>2504</v>
      </c>
      <c r="R217" s="4"/>
      <c r="S217" s="4"/>
      <c r="T217" s="4" t="str">
        <f>HYPERLINK("http://slimages.macys.com/is/image/MCY/19754215 ")</f>
        <v xml:space="preserve">http://slimages.macys.com/is/image/MCY/19754215 </v>
      </c>
    </row>
    <row r="218" spans="1:20" ht="15" customHeight="1" x14ac:dyDescent="0.25">
      <c r="A218" s="4" t="s">
        <v>2489</v>
      </c>
      <c r="B218" s="2" t="s">
        <v>2487</v>
      </c>
      <c r="C218" s="2" t="s">
        <v>2488</v>
      </c>
      <c r="D218" s="5" t="s">
        <v>2490</v>
      </c>
      <c r="E218" s="4" t="s">
        <v>2491</v>
      </c>
      <c r="F218" s="6">
        <v>14277629</v>
      </c>
      <c r="G218" s="3">
        <v>14277629</v>
      </c>
      <c r="H218" s="7">
        <v>193666794465</v>
      </c>
      <c r="I218" s="8" t="s">
        <v>1271</v>
      </c>
      <c r="J218" s="4">
        <v>1</v>
      </c>
      <c r="K218" s="9">
        <v>14.99</v>
      </c>
      <c r="L218" s="9">
        <v>14.99</v>
      </c>
      <c r="M218" s="4" t="s">
        <v>1272</v>
      </c>
      <c r="N218" s="4" t="s">
        <v>2561</v>
      </c>
      <c r="O218" s="4" t="s">
        <v>2519</v>
      </c>
      <c r="P218" s="4" t="s">
        <v>2666</v>
      </c>
      <c r="Q218" s="4" t="s">
        <v>2775</v>
      </c>
      <c r="R218" s="4"/>
      <c r="S218" s="4"/>
      <c r="T218" s="4"/>
    </row>
    <row r="219" spans="1:20" ht="15" customHeight="1" x14ac:dyDescent="0.25">
      <c r="A219" s="4" t="s">
        <v>2489</v>
      </c>
      <c r="B219" s="2" t="s">
        <v>2487</v>
      </c>
      <c r="C219" s="2" t="s">
        <v>2488</v>
      </c>
      <c r="D219" s="5" t="s">
        <v>2490</v>
      </c>
      <c r="E219" s="4" t="s">
        <v>2491</v>
      </c>
      <c r="F219" s="6">
        <v>14277629</v>
      </c>
      <c r="G219" s="3">
        <v>14277629</v>
      </c>
      <c r="H219" s="7">
        <v>733004038471</v>
      </c>
      <c r="I219" s="8" t="s">
        <v>1350</v>
      </c>
      <c r="J219" s="4">
        <v>1</v>
      </c>
      <c r="K219" s="9">
        <v>7.99</v>
      </c>
      <c r="L219" s="9">
        <v>7.99</v>
      </c>
      <c r="M219" s="4" t="s">
        <v>3145</v>
      </c>
      <c r="N219" s="4" t="s">
        <v>2497</v>
      </c>
      <c r="O219" s="4" t="s">
        <v>2650</v>
      </c>
      <c r="P219" s="4" t="s">
        <v>2602</v>
      </c>
      <c r="Q219" s="4" t="s">
        <v>2528</v>
      </c>
      <c r="R219" s="4"/>
      <c r="S219" s="4"/>
      <c r="T219" s="4" t="str">
        <f>HYPERLINK("http://slimages.macys.com/is/image/MCY/19988126 ")</f>
        <v xml:space="preserve">http://slimages.macys.com/is/image/MCY/19988126 </v>
      </c>
    </row>
    <row r="220" spans="1:20" ht="15" customHeight="1" x14ac:dyDescent="0.25">
      <c r="A220" s="4" t="s">
        <v>2489</v>
      </c>
      <c r="B220" s="2" t="s">
        <v>2487</v>
      </c>
      <c r="C220" s="2" t="s">
        <v>2488</v>
      </c>
      <c r="D220" s="5" t="s">
        <v>2490</v>
      </c>
      <c r="E220" s="4" t="s">
        <v>2491</v>
      </c>
      <c r="F220" s="6">
        <v>14277629</v>
      </c>
      <c r="G220" s="3">
        <v>14277629</v>
      </c>
      <c r="H220" s="7">
        <v>194257281562</v>
      </c>
      <c r="I220" s="8" t="s">
        <v>1351</v>
      </c>
      <c r="J220" s="4">
        <v>1</v>
      </c>
      <c r="K220" s="9">
        <v>12.99</v>
      </c>
      <c r="L220" s="9">
        <v>12.99</v>
      </c>
      <c r="M220" s="4" t="s">
        <v>1352</v>
      </c>
      <c r="N220" s="4" t="s">
        <v>2638</v>
      </c>
      <c r="O220" s="4">
        <v>4</v>
      </c>
      <c r="P220" s="4" t="s">
        <v>2619</v>
      </c>
      <c r="Q220" s="4" t="s">
        <v>2654</v>
      </c>
      <c r="R220" s="4"/>
      <c r="S220" s="4"/>
      <c r="T220" s="4" t="str">
        <f>HYPERLINK("http://slimages.macys.com/is/image/MCY/18801298 ")</f>
        <v xml:space="preserve">http://slimages.macys.com/is/image/MCY/18801298 </v>
      </c>
    </row>
    <row r="221" spans="1:20" ht="15" customHeight="1" x14ac:dyDescent="0.25">
      <c r="A221" s="4" t="s">
        <v>2489</v>
      </c>
      <c r="B221" s="2" t="s">
        <v>2487</v>
      </c>
      <c r="C221" s="2" t="s">
        <v>2488</v>
      </c>
      <c r="D221" s="5" t="s">
        <v>2490</v>
      </c>
      <c r="E221" s="4" t="s">
        <v>2491</v>
      </c>
      <c r="F221" s="6">
        <v>14277629</v>
      </c>
      <c r="G221" s="3">
        <v>14277629</v>
      </c>
      <c r="H221" s="7">
        <v>193666517958</v>
      </c>
      <c r="I221" s="8" t="s">
        <v>1353</v>
      </c>
      <c r="J221" s="4">
        <v>2</v>
      </c>
      <c r="K221" s="9">
        <v>4.99</v>
      </c>
      <c r="L221" s="9">
        <v>9.98</v>
      </c>
      <c r="M221" s="4">
        <v>4101</v>
      </c>
      <c r="N221" s="4" t="s">
        <v>2638</v>
      </c>
      <c r="O221" s="4" t="s">
        <v>2519</v>
      </c>
      <c r="P221" s="4" t="s">
        <v>2666</v>
      </c>
      <c r="Q221" s="4" t="s">
        <v>2667</v>
      </c>
      <c r="R221" s="4"/>
      <c r="S221" s="4"/>
      <c r="T221" s="4" t="str">
        <f>HYPERLINK("http://slimages.macys.com/is/image/MCY/19939990 ")</f>
        <v xml:space="preserve">http://slimages.macys.com/is/image/MCY/19939990 </v>
      </c>
    </row>
    <row r="222" spans="1:20" ht="15" customHeight="1" x14ac:dyDescent="0.25">
      <c r="A222" s="4" t="s">
        <v>2489</v>
      </c>
      <c r="B222" s="2" t="s">
        <v>2487</v>
      </c>
      <c r="C222" s="2" t="s">
        <v>2488</v>
      </c>
      <c r="D222" s="5" t="s">
        <v>2490</v>
      </c>
      <c r="E222" s="4" t="s">
        <v>2491</v>
      </c>
      <c r="F222" s="6">
        <v>14277629</v>
      </c>
      <c r="G222" s="3">
        <v>14277629</v>
      </c>
      <c r="H222" s="7">
        <v>733004296802</v>
      </c>
      <c r="I222" s="8" t="s">
        <v>1830</v>
      </c>
      <c r="J222" s="4">
        <v>1</v>
      </c>
      <c r="K222" s="9">
        <v>21.99</v>
      </c>
      <c r="L222" s="9">
        <v>21.99</v>
      </c>
      <c r="M222" s="4" t="s">
        <v>1831</v>
      </c>
      <c r="N222" s="4" t="s">
        <v>2758</v>
      </c>
      <c r="O222" s="4" t="s">
        <v>2498</v>
      </c>
      <c r="P222" s="4" t="s">
        <v>2515</v>
      </c>
      <c r="Q222" s="4" t="s">
        <v>2672</v>
      </c>
      <c r="R222" s="4"/>
      <c r="S222" s="4"/>
      <c r="T222" s="4" t="str">
        <f>HYPERLINK("http://slimages.macys.com/is/image/MCY/20143268 ")</f>
        <v xml:space="preserve">http://slimages.macys.com/is/image/MCY/20143268 </v>
      </c>
    </row>
    <row r="223" spans="1:20" ht="15" customHeight="1" x14ac:dyDescent="0.25">
      <c r="A223" s="4" t="s">
        <v>2489</v>
      </c>
      <c r="B223" s="2" t="s">
        <v>2487</v>
      </c>
      <c r="C223" s="2" t="s">
        <v>2488</v>
      </c>
      <c r="D223" s="5" t="s">
        <v>2490</v>
      </c>
      <c r="E223" s="4" t="s">
        <v>2491</v>
      </c>
      <c r="F223" s="6">
        <v>14277629</v>
      </c>
      <c r="G223" s="3">
        <v>14277629</v>
      </c>
      <c r="H223" s="7">
        <v>733004780585</v>
      </c>
      <c r="I223" s="8" t="s">
        <v>2122</v>
      </c>
      <c r="J223" s="4">
        <v>1</v>
      </c>
      <c r="K223" s="9">
        <v>11.99</v>
      </c>
      <c r="L223" s="9">
        <v>11.99</v>
      </c>
      <c r="M223" s="4" t="s">
        <v>3083</v>
      </c>
      <c r="N223" s="4" t="s">
        <v>2501</v>
      </c>
      <c r="O223" s="4" t="s">
        <v>2629</v>
      </c>
      <c r="P223" s="4" t="s">
        <v>2602</v>
      </c>
      <c r="Q223" s="4" t="s">
        <v>2528</v>
      </c>
      <c r="R223" s="4"/>
      <c r="S223" s="4"/>
      <c r="T223" s="4" t="str">
        <f>HYPERLINK("http://slimages.macys.com/is/image/MCY/1110249 ")</f>
        <v xml:space="preserve">http://slimages.macys.com/is/image/MCY/1110249 </v>
      </c>
    </row>
    <row r="224" spans="1:20" ht="15" customHeight="1" x14ac:dyDescent="0.25">
      <c r="A224" s="4" t="s">
        <v>2489</v>
      </c>
      <c r="B224" s="2" t="s">
        <v>2487</v>
      </c>
      <c r="C224" s="2" t="s">
        <v>2488</v>
      </c>
      <c r="D224" s="5" t="s">
        <v>2490</v>
      </c>
      <c r="E224" s="4" t="s">
        <v>2491</v>
      </c>
      <c r="F224" s="6">
        <v>14277629</v>
      </c>
      <c r="G224" s="3">
        <v>14277629</v>
      </c>
      <c r="H224" s="7">
        <v>762120087247</v>
      </c>
      <c r="I224" s="8" t="s">
        <v>3044</v>
      </c>
      <c r="J224" s="4">
        <v>2</v>
      </c>
      <c r="K224" s="9">
        <v>11.99</v>
      </c>
      <c r="L224" s="9">
        <v>23.98</v>
      </c>
      <c r="M224" s="4" t="s">
        <v>3045</v>
      </c>
      <c r="N224" s="4" t="s">
        <v>2567</v>
      </c>
      <c r="O224" s="4">
        <v>5</v>
      </c>
      <c r="P224" s="4" t="s">
        <v>2602</v>
      </c>
      <c r="Q224" s="4" t="s">
        <v>2528</v>
      </c>
      <c r="R224" s="4"/>
      <c r="S224" s="4"/>
      <c r="T224" s="4" t="str">
        <f>HYPERLINK("http://slimages.macys.com/is/image/MCY/20691887 ")</f>
        <v xml:space="preserve">http://slimages.macys.com/is/image/MCY/20691887 </v>
      </c>
    </row>
    <row r="225" spans="1:20" ht="15" customHeight="1" x14ac:dyDescent="0.25">
      <c r="A225" s="4" t="s">
        <v>2489</v>
      </c>
      <c r="B225" s="2" t="s">
        <v>2487</v>
      </c>
      <c r="C225" s="2" t="s">
        <v>2488</v>
      </c>
      <c r="D225" s="5" t="s">
        <v>2490</v>
      </c>
      <c r="E225" s="4" t="s">
        <v>2491</v>
      </c>
      <c r="F225" s="6">
        <v>14277629</v>
      </c>
      <c r="G225" s="3">
        <v>14277629</v>
      </c>
      <c r="H225" s="7">
        <v>733004072857</v>
      </c>
      <c r="I225" s="8" t="s">
        <v>1354</v>
      </c>
      <c r="J225" s="4">
        <v>1</v>
      </c>
      <c r="K225" s="9">
        <v>22.99</v>
      </c>
      <c r="L225" s="9">
        <v>22.99</v>
      </c>
      <c r="M225" s="4" t="s">
        <v>1355</v>
      </c>
      <c r="N225" s="4" t="s">
        <v>2567</v>
      </c>
      <c r="O225" s="4" t="s">
        <v>2498</v>
      </c>
      <c r="P225" s="4" t="s">
        <v>2543</v>
      </c>
      <c r="Q225" s="4" t="s">
        <v>2528</v>
      </c>
      <c r="R225" s="4"/>
      <c r="S225" s="4"/>
      <c r="T225" s="4" t="str">
        <f>HYPERLINK("http://slimages.macys.com/is/image/MCY/19965622 ")</f>
        <v xml:space="preserve">http://slimages.macys.com/is/image/MCY/19965622 </v>
      </c>
    </row>
    <row r="226" spans="1:20" ht="15" customHeight="1" x14ac:dyDescent="0.25">
      <c r="A226" s="4" t="s">
        <v>2489</v>
      </c>
      <c r="B226" s="2" t="s">
        <v>2487</v>
      </c>
      <c r="C226" s="2" t="s">
        <v>2488</v>
      </c>
      <c r="D226" s="5" t="s">
        <v>2490</v>
      </c>
      <c r="E226" s="4" t="s">
        <v>2491</v>
      </c>
      <c r="F226" s="6">
        <v>14277629</v>
      </c>
      <c r="G226" s="3">
        <v>14277629</v>
      </c>
      <c r="H226" s="7">
        <v>733003926717</v>
      </c>
      <c r="I226" s="8" t="s">
        <v>2940</v>
      </c>
      <c r="J226" s="4">
        <v>1</v>
      </c>
      <c r="K226" s="9">
        <v>6.99</v>
      </c>
      <c r="L226" s="9">
        <v>6.99</v>
      </c>
      <c r="M226" s="4" t="s">
        <v>2941</v>
      </c>
      <c r="N226" s="4" t="s">
        <v>2682</v>
      </c>
      <c r="O226" s="4" t="s">
        <v>2502</v>
      </c>
      <c r="P226" s="4" t="s">
        <v>2503</v>
      </c>
      <c r="Q226" s="4" t="s">
        <v>2504</v>
      </c>
      <c r="R226" s="4"/>
      <c r="S226" s="4"/>
      <c r="T226" s="4" t="str">
        <f>HYPERLINK("http://slimages.macys.com/is/image/MCY/19507809 ")</f>
        <v xml:space="preserve">http://slimages.macys.com/is/image/MCY/19507809 </v>
      </c>
    </row>
    <row r="227" spans="1:20" ht="15" customHeight="1" x14ac:dyDescent="0.25">
      <c r="A227" s="4" t="s">
        <v>2489</v>
      </c>
      <c r="B227" s="2" t="s">
        <v>2487</v>
      </c>
      <c r="C227" s="2" t="s">
        <v>2488</v>
      </c>
      <c r="D227" s="5" t="s">
        <v>2490</v>
      </c>
      <c r="E227" s="4" t="s">
        <v>2491</v>
      </c>
      <c r="F227" s="6">
        <v>14277629</v>
      </c>
      <c r="G227" s="3">
        <v>14277629</v>
      </c>
      <c r="H227" s="7">
        <v>733003926687</v>
      </c>
      <c r="I227" s="8" t="s">
        <v>3233</v>
      </c>
      <c r="J227" s="4">
        <v>2</v>
      </c>
      <c r="K227" s="9">
        <v>6.99</v>
      </c>
      <c r="L227" s="9">
        <v>13.98</v>
      </c>
      <c r="M227" s="4" t="s">
        <v>2941</v>
      </c>
      <c r="N227" s="4" t="s">
        <v>2682</v>
      </c>
      <c r="O227" s="4" t="s">
        <v>2601</v>
      </c>
      <c r="P227" s="4" t="s">
        <v>2503</v>
      </c>
      <c r="Q227" s="4" t="s">
        <v>2504</v>
      </c>
      <c r="R227" s="4"/>
      <c r="S227" s="4"/>
      <c r="T227" s="4" t="str">
        <f>HYPERLINK("http://slimages.macys.com/is/image/MCY/19507809 ")</f>
        <v xml:space="preserve">http://slimages.macys.com/is/image/MCY/19507809 </v>
      </c>
    </row>
    <row r="228" spans="1:20" ht="15" customHeight="1" x14ac:dyDescent="0.25">
      <c r="A228" s="4" t="s">
        <v>2489</v>
      </c>
      <c r="B228" s="2" t="s">
        <v>2487</v>
      </c>
      <c r="C228" s="2" t="s">
        <v>2488</v>
      </c>
      <c r="D228" s="5" t="s">
        <v>2490</v>
      </c>
      <c r="E228" s="4" t="s">
        <v>2491</v>
      </c>
      <c r="F228" s="6">
        <v>14277629</v>
      </c>
      <c r="G228" s="3">
        <v>14277629</v>
      </c>
      <c r="H228" s="7">
        <v>733003926694</v>
      </c>
      <c r="I228" s="8" t="s">
        <v>3236</v>
      </c>
      <c r="J228" s="4">
        <v>2</v>
      </c>
      <c r="K228" s="9">
        <v>6.99</v>
      </c>
      <c r="L228" s="9">
        <v>13.98</v>
      </c>
      <c r="M228" s="4" t="s">
        <v>2941</v>
      </c>
      <c r="N228" s="4" t="s">
        <v>2682</v>
      </c>
      <c r="O228" s="4" t="s">
        <v>2566</v>
      </c>
      <c r="P228" s="4" t="s">
        <v>2503</v>
      </c>
      <c r="Q228" s="4" t="s">
        <v>2504</v>
      </c>
      <c r="R228" s="4"/>
      <c r="S228" s="4"/>
      <c r="T228" s="4" t="str">
        <f>HYPERLINK("http://slimages.macys.com/is/image/MCY/19507809 ")</f>
        <v xml:space="preserve">http://slimages.macys.com/is/image/MCY/19507809 </v>
      </c>
    </row>
    <row r="229" spans="1:20" ht="15" customHeight="1" x14ac:dyDescent="0.25">
      <c r="A229" s="4" t="s">
        <v>2489</v>
      </c>
      <c r="B229" s="2" t="s">
        <v>2487</v>
      </c>
      <c r="C229" s="2" t="s">
        <v>2488</v>
      </c>
      <c r="D229" s="5" t="s">
        <v>2490</v>
      </c>
      <c r="E229" s="4" t="s">
        <v>2491</v>
      </c>
      <c r="F229" s="6">
        <v>14277629</v>
      </c>
      <c r="G229" s="3">
        <v>14277629</v>
      </c>
      <c r="H229" s="7">
        <v>762120216241</v>
      </c>
      <c r="I229" s="8" t="s">
        <v>1993</v>
      </c>
      <c r="J229" s="4">
        <v>1</v>
      </c>
      <c r="K229" s="9">
        <v>21.99</v>
      </c>
      <c r="L229" s="9">
        <v>21.99</v>
      </c>
      <c r="M229" s="4" t="s">
        <v>2994</v>
      </c>
      <c r="N229" s="4" t="s">
        <v>2565</v>
      </c>
      <c r="O229" s="4" t="s">
        <v>2519</v>
      </c>
      <c r="P229" s="4" t="s">
        <v>2515</v>
      </c>
      <c r="Q229" s="4" t="s">
        <v>2672</v>
      </c>
      <c r="R229" s="4"/>
      <c r="S229" s="4"/>
      <c r="T229" s="4" t="str">
        <f>HYPERLINK("http://slimages.macys.com/is/image/MCY/20411699 ")</f>
        <v xml:space="preserve">http://slimages.macys.com/is/image/MCY/20411699 </v>
      </c>
    </row>
    <row r="230" spans="1:20" ht="15" customHeight="1" x14ac:dyDescent="0.25">
      <c r="A230" s="4" t="s">
        <v>2489</v>
      </c>
      <c r="B230" s="2" t="s">
        <v>2487</v>
      </c>
      <c r="C230" s="2" t="s">
        <v>2488</v>
      </c>
      <c r="D230" s="5" t="s">
        <v>2490</v>
      </c>
      <c r="E230" s="4" t="s">
        <v>2491</v>
      </c>
      <c r="F230" s="6">
        <v>14277629</v>
      </c>
      <c r="G230" s="3">
        <v>14277629</v>
      </c>
      <c r="H230" s="7">
        <v>195958112971</v>
      </c>
      <c r="I230" s="8" t="s">
        <v>1356</v>
      </c>
      <c r="J230" s="4">
        <v>12</v>
      </c>
      <c r="K230" s="9">
        <v>39.5</v>
      </c>
      <c r="L230" s="9">
        <v>474</v>
      </c>
      <c r="M230" s="4" t="s">
        <v>2088</v>
      </c>
      <c r="N230" s="4" t="s">
        <v>2676</v>
      </c>
      <c r="O230" s="4">
        <v>4</v>
      </c>
      <c r="P230" s="4" t="s">
        <v>2714</v>
      </c>
      <c r="Q230" s="4" t="s">
        <v>2715</v>
      </c>
      <c r="R230" s="4"/>
      <c r="S230" s="4"/>
      <c r="T230" s="4" t="str">
        <f>HYPERLINK("http://slimages.macys.com/is/image/MCY/20108600 ")</f>
        <v xml:space="preserve">http://slimages.macys.com/is/image/MCY/20108600 </v>
      </c>
    </row>
    <row r="231" spans="1:20" ht="15" customHeight="1" x14ac:dyDescent="0.25">
      <c r="A231" s="4" t="s">
        <v>2489</v>
      </c>
      <c r="B231" s="2" t="s">
        <v>2487</v>
      </c>
      <c r="C231" s="2" t="s">
        <v>2488</v>
      </c>
      <c r="D231" s="5" t="s">
        <v>2490</v>
      </c>
      <c r="E231" s="4" t="s">
        <v>2491</v>
      </c>
      <c r="F231" s="6">
        <v>14277629</v>
      </c>
      <c r="G231" s="3">
        <v>14277629</v>
      </c>
      <c r="H231" s="7">
        <v>195958112995</v>
      </c>
      <c r="I231" s="8" t="s">
        <v>1357</v>
      </c>
      <c r="J231" s="4">
        <v>10</v>
      </c>
      <c r="K231" s="9">
        <v>39.5</v>
      </c>
      <c r="L231" s="9">
        <v>395</v>
      </c>
      <c r="M231" s="4" t="s">
        <v>2088</v>
      </c>
      <c r="N231" s="4" t="s">
        <v>2676</v>
      </c>
      <c r="O231" s="4">
        <v>6</v>
      </c>
      <c r="P231" s="4" t="s">
        <v>2714</v>
      </c>
      <c r="Q231" s="4" t="s">
        <v>2715</v>
      </c>
      <c r="R231" s="4"/>
      <c r="S231" s="4"/>
      <c r="T231" s="4" t="str">
        <f>HYPERLINK("http://slimages.macys.com/is/image/MCY/20108600 ")</f>
        <v xml:space="preserve">http://slimages.macys.com/is/image/MCY/20108600 </v>
      </c>
    </row>
    <row r="232" spans="1:20" ht="15" customHeight="1" x14ac:dyDescent="0.25">
      <c r="A232" s="4" t="s">
        <v>2489</v>
      </c>
      <c r="B232" s="2" t="s">
        <v>2487</v>
      </c>
      <c r="C232" s="2" t="s">
        <v>2488</v>
      </c>
      <c r="D232" s="5" t="s">
        <v>2490</v>
      </c>
      <c r="E232" s="4" t="s">
        <v>2491</v>
      </c>
      <c r="F232" s="6">
        <v>14277629</v>
      </c>
      <c r="G232" s="3">
        <v>14277629</v>
      </c>
      <c r="H232" s="7">
        <v>196027073100</v>
      </c>
      <c r="I232" s="8" t="s">
        <v>1358</v>
      </c>
      <c r="J232" s="4">
        <v>6</v>
      </c>
      <c r="K232" s="9">
        <v>30.99</v>
      </c>
      <c r="L232" s="9">
        <v>185.94</v>
      </c>
      <c r="M232" s="4" t="s">
        <v>1164</v>
      </c>
      <c r="N232" s="4" t="s">
        <v>2544</v>
      </c>
      <c r="O232" s="4">
        <v>8</v>
      </c>
      <c r="P232" s="4" t="s">
        <v>2569</v>
      </c>
      <c r="Q232" s="4" t="s">
        <v>2590</v>
      </c>
      <c r="R232" s="4"/>
      <c r="S232" s="4"/>
      <c r="T232" s="4" t="str">
        <f>HYPERLINK("http://slimages.macys.com/is/image/MCY/20662582 ")</f>
        <v xml:space="preserve">http://slimages.macys.com/is/image/MCY/20662582 </v>
      </c>
    </row>
    <row r="233" spans="1:20" ht="15" customHeight="1" x14ac:dyDescent="0.25">
      <c r="A233" s="4" t="s">
        <v>2489</v>
      </c>
      <c r="B233" s="2" t="s">
        <v>2487</v>
      </c>
      <c r="C233" s="2" t="s">
        <v>2488</v>
      </c>
      <c r="D233" s="5" t="s">
        <v>2490</v>
      </c>
      <c r="E233" s="4" t="s">
        <v>2491</v>
      </c>
      <c r="F233" s="6">
        <v>14277629</v>
      </c>
      <c r="G233" s="3">
        <v>14277629</v>
      </c>
      <c r="H233" s="7">
        <v>733004779480</v>
      </c>
      <c r="I233" s="8" t="s">
        <v>1359</v>
      </c>
      <c r="J233" s="4">
        <v>1</v>
      </c>
      <c r="K233" s="9">
        <v>11.99</v>
      </c>
      <c r="L233" s="9">
        <v>11.99</v>
      </c>
      <c r="M233" s="4" t="s">
        <v>2080</v>
      </c>
      <c r="N233" s="4" t="s">
        <v>2567</v>
      </c>
      <c r="O233" s="4" t="s">
        <v>2653</v>
      </c>
      <c r="P233" s="4" t="s">
        <v>2602</v>
      </c>
      <c r="Q233" s="4" t="s">
        <v>2528</v>
      </c>
      <c r="R233" s="4"/>
      <c r="S233" s="4"/>
      <c r="T233" s="4" t="str">
        <f>HYPERLINK("http://slimages.macys.com/is/image/MCY/20450160 ")</f>
        <v xml:space="preserve">http://slimages.macys.com/is/image/MCY/20450160 </v>
      </c>
    </row>
    <row r="234" spans="1:20" ht="15" customHeight="1" x14ac:dyDescent="0.25">
      <c r="A234" s="4" t="s">
        <v>2489</v>
      </c>
      <c r="B234" s="2" t="s">
        <v>2487</v>
      </c>
      <c r="C234" s="2" t="s">
        <v>2488</v>
      </c>
      <c r="D234" s="5" t="s">
        <v>2490</v>
      </c>
      <c r="E234" s="4" t="s">
        <v>2491</v>
      </c>
      <c r="F234" s="6">
        <v>14277629</v>
      </c>
      <c r="G234" s="3">
        <v>14277629</v>
      </c>
      <c r="H234" s="7">
        <v>194135228535</v>
      </c>
      <c r="I234" s="8" t="s">
        <v>1360</v>
      </c>
      <c r="J234" s="4">
        <v>1</v>
      </c>
      <c r="K234" s="9">
        <v>11.93</v>
      </c>
      <c r="L234" s="9">
        <v>11.93</v>
      </c>
      <c r="M234" s="4" t="s">
        <v>1361</v>
      </c>
      <c r="N234" s="4" t="s">
        <v>2531</v>
      </c>
      <c r="O234" s="4" t="s">
        <v>2591</v>
      </c>
      <c r="P234" s="4" t="s">
        <v>2494</v>
      </c>
      <c r="Q234" s="4" t="s">
        <v>2495</v>
      </c>
      <c r="R234" s="4"/>
      <c r="S234" s="4"/>
      <c r="T234" s="4" t="str">
        <f>HYPERLINK("http://slimages.macys.com/is/image/MCY/18954825 ")</f>
        <v xml:space="preserve">http://slimages.macys.com/is/image/MCY/18954825 </v>
      </c>
    </row>
    <row r="235" spans="1:20" ht="15" customHeight="1" x14ac:dyDescent="0.25">
      <c r="A235" s="4" t="s">
        <v>2489</v>
      </c>
      <c r="B235" s="2" t="s">
        <v>2487</v>
      </c>
      <c r="C235" s="2" t="s">
        <v>2488</v>
      </c>
      <c r="D235" s="5" t="s">
        <v>2490</v>
      </c>
      <c r="E235" s="4" t="s">
        <v>2491</v>
      </c>
      <c r="F235" s="6">
        <v>14277629</v>
      </c>
      <c r="G235" s="3">
        <v>14277629</v>
      </c>
      <c r="H235" s="7">
        <v>195958060081</v>
      </c>
      <c r="I235" s="8" t="s">
        <v>2219</v>
      </c>
      <c r="J235" s="4">
        <v>1</v>
      </c>
      <c r="K235" s="9">
        <v>24.99</v>
      </c>
      <c r="L235" s="9">
        <v>24.99</v>
      </c>
      <c r="M235" s="4" t="s">
        <v>2220</v>
      </c>
      <c r="N235" s="4" t="s">
        <v>2544</v>
      </c>
      <c r="O235" s="4">
        <v>4</v>
      </c>
      <c r="P235" s="4" t="s">
        <v>2536</v>
      </c>
      <c r="Q235" s="4" t="s">
        <v>2844</v>
      </c>
      <c r="R235" s="4"/>
      <c r="S235" s="4"/>
      <c r="T235" s="4" t="str">
        <f>HYPERLINK("http://slimages.macys.com/is/image/MCY/20577710 ")</f>
        <v xml:space="preserve">http://slimages.macys.com/is/image/MCY/20577710 </v>
      </c>
    </row>
    <row r="236" spans="1:20" ht="15" customHeight="1" x14ac:dyDescent="0.25">
      <c r="A236" s="4" t="s">
        <v>2489</v>
      </c>
      <c r="B236" s="2" t="s">
        <v>2487</v>
      </c>
      <c r="C236" s="2" t="s">
        <v>2488</v>
      </c>
      <c r="D236" s="5" t="s">
        <v>2490</v>
      </c>
      <c r="E236" s="4" t="s">
        <v>2491</v>
      </c>
      <c r="F236" s="6">
        <v>14277629</v>
      </c>
      <c r="G236" s="3">
        <v>14277629</v>
      </c>
      <c r="H236" s="7">
        <v>762120086240</v>
      </c>
      <c r="I236" s="8" t="s">
        <v>1362</v>
      </c>
      <c r="J236" s="4">
        <v>1</v>
      </c>
      <c r="K236" s="9">
        <v>7.99</v>
      </c>
      <c r="L236" s="9">
        <v>7.99</v>
      </c>
      <c r="M236" s="4" t="s">
        <v>2806</v>
      </c>
      <c r="N236" s="4" t="s">
        <v>2530</v>
      </c>
      <c r="O236" s="4" t="s">
        <v>2653</v>
      </c>
      <c r="P236" s="4" t="s">
        <v>2602</v>
      </c>
      <c r="Q236" s="4" t="s">
        <v>2528</v>
      </c>
      <c r="R236" s="4"/>
      <c r="S236" s="4"/>
      <c r="T236" s="4" t="str">
        <f>HYPERLINK("http://slimages.macys.com/is/image/MCY/1086506 ")</f>
        <v xml:space="preserve">http://slimages.macys.com/is/image/MCY/1086506 </v>
      </c>
    </row>
    <row r="237" spans="1:20" ht="15" customHeight="1" x14ac:dyDescent="0.25">
      <c r="A237" s="4" t="s">
        <v>2489</v>
      </c>
      <c r="B237" s="2" t="s">
        <v>2487</v>
      </c>
      <c r="C237" s="2" t="s">
        <v>2488</v>
      </c>
      <c r="D237" s="5" t="s">
        <v>2490</v>
      </c>
      <c r="E237" s="4" t="s">
        <v>2491</v>
      </c>
      <c r="F237" s="6">
        <v>14277629</v>
      </c>
      <c r="G237" s="3">
        <v>14277629</v>
      </c>
      <c r="H237" s="7">
        <v>762120123815</v>
      </c>
      <c r="I237" s="8" t="s">
        <v>3275</v>
      </c>
      <c r="J237" s="4">
        <v>2</v>
      </c>
      <c r="K237" s="9">
        <v>7.99</v>
      </c>
      <c r="L237" s="9">
        <v>15.98</v>
      </c>
      <c r="M237" s="4" t="s">
        <v>3276</v>
      </c>
      <c r="N237" s="4" t="s">
        <v>2497</v>
      </c>
      <c r="O237" s="4" t="s">
        <v>2629</v>
      </c>
      <c r="P237" s="4" t="s">
        <v>2503</v>
      </c>
      <c r="Q237" s="4" t="s">
        <v>2504</v>
      </c>
      <c r="R237" s="4"/>
      <c r="S237" s="4"/>
      <c r="T237" s="4" t="str">
        <f>HYPERLINK("http://slimages.macys.com/is/image/MCY/20386104 ")</f>
        <v xml:space="preserve">http://slimages.macys.com/is/image/MCY/20386104 </v>
      </c>
    </row>
    <row r="238" spans="1:20" ht="15" customHeight="1" x14ac:dyDescent="0.25">
      <c r="A238" s="4" t="s">
        <v>2489</v>
      </c>
      <c r="B238" s="2" t="s">
        <v>2487</v>
      </c>
      <c r="C238" s="2" t="s">
        <v>2488</v>
      </c>
      <c r="D238" s="5" t="s">
        <v>2490</v>
      </c>
      <c r="E238" s="4" t="s">
        <v>2491</v>
      </c>
      <c r="F238" s="6">
        <v>14277629</v>
      </c>
      <c r="G238" s="3">
        <v>14277629</v>
      </c>
      <c r="H238" s="7">
        <v>762120123846</v>
      </c>
      <c r="I238" s="8" t="s">
        <v>1363</v>
      </c>
      <c r="J238" s="4">
        <v>1</v>
      </c>
      <c r="K238" s="9">
        <v>7.99</v>
      </c>
      <c r="L238" s="9">
        <v>7.99</v>
      </c>
      <c r="M238" s="4" t="s">
        <v>3139</v>
      </c>
      <c r="N238" s="4" t="s">
        <v>2561</v>
      </c>
      <c r="O238" s="4" t="s">
        <v>2629</v>
      </c>
      <c r="P238" s="4" t="s">
        <v>2503</v>
      </c>
      <c r="Q238" s="4" t="s">
        <v>2504</v>
      </c>
      <c r="R238" s="4"/>
      <c r="S238" s="4"/>
      <c r="T238" s="4" t="str">
        <f>HYPERLINK("http://slimages.macys.com/is/image/MCY/20386027 ")</f>
        <v xml:space="preserve">http://slimages.macys.com/is/image/MCY/20386027 </v>
      </c>
    </row>
    <row r="239" spans="1:20" ht="15" customHeight="1" x14ac:dyDescent="0.25">
      <c r="A239" s="4" t="s">
        <v>2489</v>
      </c>
      <c r="B239" s="2" t="s">
        <v>2487</v>
      </c>
      <c r="C239" s="2" t="s">
        <v>2488</v>
      </c>
      <c r="D239" s="5" t="s">
        <v>2490</v>
      </c>
      <c r="E239" s="4" t="s">
        <v>2491</v>
      </c>
      <c r="F239" s="6">
        <v>14277629</v>
      </c>
      <c r="G239" s="3">
        <v>14277629</v>
      </c>
      <c r="H239" s="7">
        <v>733004780103</v>
      </c>
      <c r="I239" s="8" t="s">
        <v>2691</v>
      </c>
      <c r="J239" s="4">
        <v>2</v>
      </c>
      <c r="K239" s="9">
        <v>7.99</v>
      </c>
      <c r="L239" s="9">
        <v>15.98</v>
      </c>
      <c r="M239" s="4" t="s">
        <v>2692</v>
      </c>
      <c r="N239" s="4" t="s">
        <v>2501</v>
      </c>
      <c r="O239" s="4" t="s">
        <v>2653</v>
      </c>
      <c r="P239" s="4" t="s">
        <v>2602</v>
      </c>
      <c r="Q239" s="4" t="s">
        <v>2528</v>
      </c>
      <c r="R239" s="4"/>
      <c r="S239" s="4"/>
      <c r="T239" s="4" t="str">
        <f>HYPERLINK("http://slimages.macys.com/is/image/MCY/20450163 ")</f>
        <v xml:space="preserve">http://slimages.macys.com/is/image/MCY/20450163 </v>
      </c>
    </row>
    <row r="240" spans="1:20" ht="15" customHeight="1" x14ac:dyDescent="0.25">
      <c r="A240" s="4" t="s">
        <v>2489</v>
      </c>
      <c r="B240" s="2" t="s">
        <v>2487</v>
      </c>
      <c r="C240" s="2" t="s">
        <v>2488</v>
      </c>
      <c r="D240" s="5" t="s">
        <v>2490</v>
      </c>
      <c r="E240" s="4" t="s">
        <v>2491</v>
      </c>
      <c r="F240" s="6">
        <v>14277629</v>
      </c>
      <c r="G240" s="3">
        <v>14277629</v>
      </c>
      <c r="H240" s="7">
        <v>733004780073</v>
      </c>
      <c r="I240" s="8" t="s">
        <v>1364</v>
      </c>
      <c r="J240" s="4">
        <v>2</v>
      </c>
      <c r="K240" s="9">
        <v>7.99</v>
      </c>
      <c r="L240" s="9">
        <v>15.98</v>
      </c>
      <c r="M240" s="4" t="s">
        <v>2692</v>
      </c>
      <c r="N240" s="4" t="s">
        <v>2501</v>
      </c>
      <c r="O240" s="4" t="s">
        <v>2650</v>
      </c>
      <c r="P240" s="4" t="s">
        <v>2602</v>
      </c>
      <c r="Q240" s="4" t="s">
        <v>2528</v>
      </c>
      <c r="R240" s="4"/>
      <c r="S240" s="4"/>
      <c r="T240" s="4" t="str">
        <f>HYPERLINK("http://slimages.macys.com/is/image/MCY/20450163 ")</f>
        <v xml:space="preserve">http://slimages.macys.com/is/image/MCY/20450163 </v>
      </c>
    </row>
    <row r="241" spans="1:20" ht="15" customHeight="1" x14ac:dyDescent="0.25">
      <c r="A241" s="4" t="s">
        <v>2489</v>
      </c>
      <c r="B241" s="2" t="s">
        <v>2487</v>
      </c>
      <c r="C241" s="2" t="s">
        <v>2488</v>
      </c>
      <c r="D241" s="5" t="s">
        <v>2490</v>
      </c>
      <c r="E241" s="4" t="s">
        <v>2491</v>
      </c>
      <c r="F241" s="6">
        <v>14277629</v>
      </c>
      <c r="G241" s="3">
        <v>14277629</v>
      </c>
      <c r="H241" s="7">
        <v>733004722691</v>
      </c>
      <c r="I241" s="8" t="s">
        <v>1365</v>
      </c>
      <c r="J241" s="4">
        <v>2</v>
      </c>
      <c r="K241" s="9">
        <v>25.99</v>
      </c>
      <c r="L241" s="9">
        <v>51.98</v>
      </c>
      <c r="M241" s="4" t="s">
        <v>3193</v>
      </c>
      <c r="N241" s="4" t="s">
        <v>2530</v>
      </c>
      <c r="O241" s="4" t="s">
        <v>2559</v>
      </c>
      <c r="P241" s="4" t="s">
        <v>2503</v>
      </c>
      <c r="Q241" s="4" t="s">
        <v>2504</v>
      </c>
      <c r="R241" s="4"/>
      <c r="S241" s="4"/>
      <c r="T241" s="4" t="str">
        <f>HYPERLINK("http://slimages.macys.com/is/image/MCY/19977902 ")</f>
        <v xml:space="preserve">http://slimages.macys.com/is/image/MCY/19977902 </v>
      </c>
    </row>
    <row r="242" spans="1:20" ht="15" customHeight="1" x14ac:dyDescent="0.25">
      <c r="A242" s="4" t="s">
        <v>2489</v>
      </c>
      <c r="B242" s="2" t="s">
        <v>2487</v>
      </c>
      <c r="C242" s="2" t="s">
        <v>2488</v>
      </c>
      <c r="D242" s="5" t="s">
        <v>2490</v>
      </c>
      <c r="E242" s="4" t="s">
        <v>2491</v>
      </c>
      <c r="F242" s="6">
        <v>14277629</v>
      </c>
      <c r="G242" s="3">
        <v>14277629</v>
      </c>
      <c r="H242" s="7">
        <v>194753818118</v>
      </c>
      <c r="I242" s="8" t="s">
        <v>1366</v>
      </c>
      <c r="J242" s="4">
        <v>1</v>
      </c>
      <c r="K242" s="9">
        <v>26</v>
      </c>
      <c r="L242" s="9">
        <v>26</v>
      </c>
      <c r="M242" s="4" t="s">
        <v>2419</v>
      </c>
      <c r="N242" s="4" t="s">
        <v>2544</v>
      </c>
      <c r="O242" s="4"/>
      <c r="P242" s="4" t="s">
        <v>2666</v>
      </c>
      <c r="Q242" s="4" t="s">
        <v>3399</v>
      </c>
      <c r="R242" s="4"/>
      <c r="S242" s="4"/>
      <c r="T242" s="4" t="str">
        <f>HYPERLINK("http://slimages.macys.com/is/image/MCY/20856095 ")</f>
        <v xml:space="preserve">http://slimages.macys.com/is/image/MCY/20856095 </v>
      </c>
    </row>
    <row r="243" spans="1:20" ht="15" customHeight="1" x14ac:dyDescent="0.25">
      <c r="A243" s="4" t="s">
        <v>2489</v>
      </c>
      <c r="B243" s="2" t="s">
        <v>2487</v>
      </c>
      <c r="C243" s="2" t="s">
        <v>2488</v>
      </c>
      <c r="D243" s="5" t="s">
        <v>2490</v>
      </c>
      <c r="E243" s="4" t="s">
        <v>2491</v>
      </c>
      <c r="F243" s="6">
        <v>14277629</v>
      </c>
      <c r="G243" s="3">
        <v>14277629</v>
      </c>
      <c r="H243" s="7">
        <v>194135280458</v>
      </c>
      <c r="I243" s="8" t="s">
        <v>1367</v>
      </c>
      <c r="J243" s="4">
        <v>1</v>
      </c>
      <c r="K243" s="9">
        <v>25.07</v>
      </c>
      <c r="L243" s="9">
        <v>25.07</v>
      </c>
      <c r="M243" s="4" t="s">
        <v>1368</v>
      </c>
      <c r="N243" s="4"/>
      <c r="O243" s="4" t="s">
        <v>2493</v>
      </c>
      <c r="P243" s="4" t="s">
        <v>2494</v>
      </c>
      <c r="Q243" s="4" t="s">
        <v>2560</v>
      </c>
      <c r="R243" s="4"/>
      <c r="S243" s="4"/>
      <c r="T243" s="4" t="str">
        <f>HYPERLINK("http://slimages.macys.com/is/image/MCY/19146571 ")</f>
        <v xml:space="preserve">http://slimages.macys.com/is/image/MCY/19146571 </v>
      </c>
    </row>
    <row r="244" spans="1:20" ht="15" customHeight="1" x14ac:dyDescent="0.25">
      <c r="A244" s="4" t="s">
        <v>2489</v>
      </c>
      <c r="B244" s="2" t="s">
        <v>2487</v>
      </c>
      <c r="C244" s="2" t="s">
        <v>2488</v>
      </c>
      <c r="D244" s="5" t="s">
        <v>2490</v>
      </c>
      <c r="E244" s="4" t="s">
        <v>2491</v>
      </c>
      <c r="F244" s="6">
        <v>14277629</v>
      </c>
      <c r="G244" s="3">
        <v>14277629</v>
      </c>
      <c r="H244" s="7">
        <v>633731982842</v>
      </c>
      <c r="I244" s="8" t="s">
        <v>2473</v>
      </c>
      <c r="J244" s="4">
        <v>5</v>
      </c>
      <c r="K244" s="9">
        <v>32.99</v>
      </c>
      <c r="L244" s="9">
        <v>164.95</v>
      </c>
      <c r="M244" s="4" t="s">
        <v>2474</v>
      </c>
      <c r="N244" s="4" t="s">
        <v>2523</v>
      </c>
      <c r="O244" s="4">
        <v>6</v>
      </c>
      <c r="P244" s="4" t="s">
        <v>2499</v>
      </c>
      <c r="Q244" s="4" t="s">
        <v>2765</v>
      </c>
      <c r="R244" s="4" t="s">
        <v>2552</v>
      </c>
      <c r="S244" s="4" t="s">
        <v>2624</v>
      </c>
      <c r="T244" s="4" t="str">
        <f>HYPERLINK("http://slimages.macys.com/is/image/MCY/16535836 ")</f>
        <v xml:space="preserve">http://slimages.macys.com/is/image/MCY/16535836 </v>
      </c>
    </row>
    <row r="245" spans="1:20" ht="15" customHeight="1" x14ac:dyDescent="0.25">
      <c r="A245" s="4" t="s">
        <v>2489</v>
      </c>
      <c r="B245" s="2" t="s">
        <v>2487</v>
      </c>
      <c r="C245" s="2" t="s">
        <v>2488</v>
      </c>
      <c r="D245" s="5" t="s">
        <v>2490</v>
      </c>
      <c r="E245" s="4" t="s">
        <v>2491</v>
      </c>
      <c r="F245" s="6">
        <v>14277629</v>
      </c>
      <c r="G245" s="3">
        <v>14277629</v>
      </c>
      <c r="H245" s="7">
        <v>195883942186</v>
      </c>
      <c r="I245" s="8" t="s">
        <v>3104</v>
      </c>
      <c r="J245" s="4">
        <v>1</v>
      </c>
      <c r="K245" s="9">
        <v>7.99</v>
      </c>
      <c r="L245" s="9">
        <v>7.99</v>
      </c>
      <c r="M245" s="4" t="s">
        <v>3105</v>
      </c>
      <c r="N245" s="4" t="s">
        <v>2497</v>
      </c>
      <c r="O245" s="4">
        <v>5</v>
      </c>
      <c r="P245" s="4" t="s">
        <v>2506</v>
      </c>
      <c r="Q245" s="4" t="s">
        <v>2527</v>
      </c>
      <c r="R245" s="4"/>
      <c r="S245" s="4"/>
      <c r="T245" s="4" t="str">
        <f>HYPERLINK("http://slimages.macys.com/is/image/MCY/20726226 ")</f>
        <v xml:space="preserve">http://slimages.macys.com/is/image/MCY/20726226 </v>
      </c>
    </row>
    <row r="246" spans="1:20" ht="15" customHeight="1" x14ac:dyDescent="0.25">
      <c r="A246" s="4" t="s">
        <v>2489</v>
      </c>
      <c r="B246" s="2" t="s">
        <v>2487</v>
      </c>
      <c r="C246" s="2" t="s">
        <v>2488</v>
      </c>
      <c r="D246" s="5" t="s">
        <v>2490</v>
      </c>
      <c r="E246" s="4" t="s">
        <v>2491</v>
      </c>
      <c r="F246" s="6">
        <v>14277629</v>
      </c>
      <c r="G246" s="3">
        <v>14277629</v>
      </c>
      <c r="H246" s="7">
        <v>677838864786</v>
      </c>
      <c r="I246" s="8" t="s">
        <v>1369</v>
      </c>
      <c r="J246" s="4">
        <v>1</v>
      </c>
      <c r="K246" s="9">
        <v>29.99</v>
      </c>
      <c r="L246" s="9">
        <v>29.99</v>
      </c>
      <c r="M246" s="4" t="s">
        <v>3114</v>
      </c>
      <c r="N246" s="4" t="s">
        <v>2535</v>
      </c>
      <c r="O246" s="4" t="s">
        <v>2493</v>
      </c>
      <c r="P246" s="4" t="s">
        <v>2740</v>
      </c>
      <c r="Q246" s="4" t="s">
        <v>2733</v>
      </c>
      <c r="R246" s="4"/>
      <c r="S246" s="4"/>
      <c r="T246" s="4" t="str">
        <f>HYPERLINK("http://slimages.macys.com/is/image/MCY/18252184 ")</f>
        <v xml:space="preserve">http://slimages.macys.com/is/image/MCY/18252184 </v>
      </c>
    </row>
    <row r="247" spans="1:20" ht="15" customHeight="1" x14ac:dyDescent="0.25">
      <c r="A247" s="4" t="s">
        <v>2489</v>
      </c>
      <c r="B247" s="2" t="s">
        <v>2487</v>
      </c>
      <c r="C247" s="2" t="s">
        <v>2488</v>
      </c>
      <c r="D247" s="5" t="s">
        <v>2490</v>
      </c>
      <c r="E247" s="4" t="s">
        <v>2491</v>
      </c>
      <c r="F247" s="6">
        <v>14277629</v>
      </c>
      <c r="G247" s="3">
        <v>14277629</v>
      </c>
      <c r="H247" s="7">
        <v>194257518750</v>
      </c>
      <c r="I247" s="8" t="s">
        <v>3380</v>
      </c>
      <c r="J247" s="4">
        <v>1</v>
      </c>
      <c r="K247" s="9">
        <v>8.25</v>
      </c>
      <c r="L247" s="9">
        <v>8.25</v>
      </c>
      <c r="M247" s="4" t="s">
        <v>3274</v>
      </c>
      <c r="N247" s="4" t="s">
        <v>2514</v>
      </c>
      <c r="O247" s="4">
        <v>5</v>
      </c>
      <c r="P247" s="4" t="s">
        <v>2619</v>
      </c>
      <c r="Q247" s="4" t="s">
        <v>2654</v>
      </c>
      <c r="R247" s="4"/>
      <c r="S247" s="4"/>
      <c r="T247" s="4" t="str">
        <f>HYPERLINK("http://slimages.macys.com/is/image/MCY/20099679 ")</f>
        <v xml:space="preserve">http://slimages.macys.com/is/image/MCY/20099679 </v>
      </c>
    </row>
    <row r="248" spans="1:20" ht="15" customHeight="1" x14ac:dyDescent="0.25">
      <c r="A248" s="4" t="s">
        <v>2489</v>
      </c>
      <c r="B248" s="2" t="s">
        <v>2487</v>
      </c>
      <c r="C248" s="2" t="s">
        <v>2488</v>
      </c>
      <c r="D248" s="5" t="s">
        <v>2490</v>
      </c>
      <c r="E248" s="4" t="s">
        <v>2491</v>
      </c>
      <c r="F248" s="6">
        <v>14277629</v>
      </c>
      <c r="G248" s="3">
        <v>14277629</v>
      </c>
      <c r="H248" s="7">
        <v>762120024983</v>
      </c>
      <c r="I248" s="8" t="s">
        <v>2695</v>
      </c>
      <c r="J248" s="4">
        <v>1</v>
      </c>
      <c r="K248" s="9">
        <v>26.99</v>
      </c>
      <c r="L248" s="9">
        <v>26.99</v>
      </c>
      <c r="M248" s="4" t="s">
        <v>2696</v>
      </c>
      <c r="N248" s="4" t="s">
        <v>2665</v>
      </c>
      <c r="O248" s="4" t="s">
        <v>2650</v>
      </c>
      <c r="P248" s="4" t="s">
        <v>2515</v>
      </c>
      <c r="Q248" s="4" t="s">
        <v>2672</v>
      </c>
      <c r="R248" s="4"/>
      <c r="S248" s="4"/>
      <c r="T248" s="4" t="str">
        <f>HYPERLINK("http://slimages.macys.com/is/image/MCY/20530918 ")</f>
        <v xml:space="preserve">http://slimages.macys.com/is/image/MCY/20530918 </v>
      </c>
    </row>
    <row r="249" spans="1:20" ht="15" customHeight="1" x14ac:dyDescent="0.25">
      <c r="A249" s="4" t="s">
        <v>2489</v>
      </c>
      <c r="B249" s="2" t="s">
        <v>2487</v>
      </c>
      <c r="C249" s="2" t="s">
        <v>2488</v>
      </c>
      <c r="D249" s="5" t="s">
        <v>2490</v>
      </c>
      <c r="E249" s="4" t="s">
        <v>2491</v>
      </c>
      <c r="F249" s="6">
        <v>14277629</v>
      </c>
      <c r="G249" s="3">
        <v>14277629</v>
      </c>
      <c r="H249" s="7">
        <v>733002929955</v>
      </c>
      <c r="I249" s="8" t="s">
        <v>2541</v>
      </c>
      <c r="J249" s="4">
        <v>1</v>
      </c>
      <c r="K249" s="9">
        <v>7.99</v>
      </c>
      <c r="L249" s="9">
        <v>7.99</v>
      </c>
      <c r="M249" s="4" t="s">
        <v>2542</v>
      </c>
      <c r="N249" s="4" t="s">
        <v>2508</v>
      </c>
      <c r="O249" s="4" t="s">
        <v>2519</v>
      </c>
      <c r="P249" s="4" t="s">
        <v>2543</v>
      </c>
      <c r="Q249" s="4" t="s">
        <v>2528</v>
      </c>
      <c r="R249" s="4"/>
      <c r="S249" s="4"/>
      <c r="T249" s="4" t="str">
        <f>HYPERLINK("http://slimages.macys.com/is/image/MCY/19252868 ")</f>
        <v xml:space="preserve">http://slimages.macys.com/is/image/MCY/19252868 </v>
      </c>
    </row>
    <row r="250" spans="1:20" ht="15" customHeight="1" x14ac:dyDescent="0.25">
      <c r="A250" s="4" t="s">
        <v>2489</v>
      </c>
      <c r="B250" s="2" t="s">
        <v>2487</v>
      </c>
      <c r="C250" s="2" t="s">
        <v>2488</v>
      </c>
      <c r="D250" s="5" t="s">
        <v>2490</v>
      </c>
      <c r="E250" s="4" t="s">
        <v>2491</v>
      </c>
      <c r="F250" s="6">
        <v>14277629</v>
      </c>
      <c r="G250" s="3">
        <v>14277629</v>
      </c>
      <c r="H250" s="7">
        <v>733004103025</v>
      </c>
      <c r="I250" s="8" t="s">
        <v>1370</v>
      </c>
      <c r="J250" s="4">
        <v>1</v>
      </c>
      <c r="K250" s="9">
        <v>22.99</v>
      </c>
      <c r="L250" s="9">
        <v>22.99</v>
      </c>
      <c r="M250" s="4" t="s">
        <v>2049</v>
      </c>
      <c r="N250" s="4" t="s">
        <v>2523</v>
      </c>
      <c r="O250" s="4" t="s">
        <v>2555</v>
      </c>
      <c r="P250" s="4" t="s">
        <v>2543</v>
      </c>
      <c r="Q250" s="4" t="s">
        <v>2528</v>
      </c>
      <c r="R250" s="4"/>
      <c r="S250" s="4"/>
      <c r="T250" s="4" t="str">
        <f>HYPERLINK("http://slimages.macys.com/is/image/MCY/20084026 ")</f>
        <v xml:space="preserve">http://slimages.macys.com/is/image/MCY/20084026 </v>
      </c>
    </row>
    <row r="251" spans="1:20" ht="15" customHeight="1" x14ac:dyDescent="0.25">
      <c r="A251" s="4" t="s">
        <v>2489</v>
      </c>
      <c r="B251" s="2" t="s">
        <v>2487</v>
      </c>
      <c r="C251" s="2" t="s">
        <v>2488</v>
      </c>
      <c r="D251" s="5" t="s">
        <v>2490</v>
      </c>
      <c r="E251" s="4" t="s">
        <v>2491</v>
      </c>
      <c r="F251" s="6">
        <v>14277629</v>
      </c>
      <c r="G251" s="3">
        <v>14277629</v>
      </c>
      <c r="H251" s="7">
        <v>194931204306</v>
      </c>
      <c r="I251" s="8" t="s">
        <v>1897</v>
      </c>
      <c r="J251" s="4">
        <v>1</v>
      </c>
      <c r="K251" s="9">
        <v>19.8</v>
      </c>
      <c r="L251" s="9">
        <v>19.8</v>
      </c>
      <c r="M251" s="4" t="s">
        <v>1854</v>
      </c>
      <c r="N251" s="4" t="s">
        <v>2682</v>
      </c>
      <c r="O251" s="4"/>
      <c r="P251" s="4" t="s">
        <v>2622</v>
      </c>
      <c r="Q251" s="4" t="s">
        <v>2643</v>
      </c>
      <c r="R251" s="4"/>
      <c r="S251" s="4"/>
      <c r="T251" s="4" t="str">
        <f>HYPERLINK("http://slimages.macys.com/is/image/MCY/19992228 ")</f>
        <v xml:space="preserve">http://slimages.macys.com/is/image/MCY/19992228 </v>
      </c>
    </row>
    <row r="252" spans="1:20" ht="15" customHeight="1" x14ac:dyDescent="0.25">
      <c r="A252" s="4" t="s">
        <v>2489</v>
      </c>
      <c r="B252" s="2" t="s">
        <v>2487</v>
      </c>
      <c r="C252" s="2" t="s">
        <v>2488</v>
      </c>
      <c r="D252" s="5" t="s">
        <v>2490</v>
      </c>
      <c r="E252" s="4" t="s">
        <v>2491</v>
      </c>
      <c r="F252" s="6">
        <v>14277629</v>
      </c>
      <c r="G252" s="3">
        <v>14277629</v>
      </c>
      <c r="H252" s="7">
        <v>194931204375</v>
      </c>
      <c r="I252" s="8" t="s">
        <v>1889</v>
      </c>
      <c r="J252" s="4">
        <v>6</v>
      </c>
      <c r="K252" s="9">
        <v>19.8</v>
      </c>
      <c r="L252" s="9">
        <v>118.8</v>
      </c>
      <c r="M252" s="4" t="s">
        <v>1865</v>
      </c>
      <c r="N252" s="4" t="s">
        <v>2676</v>
      </c>
      <c r="O252" s="4"/>
      <c r="P252" s="4" t="s">
        <v>2622</v>
      </c>
      <c r="Q252" s="4" t="s">
        <v>2643</v>
      </c>
      <c r="R252" s="4"/>
      <c r="S252" s="4"/>
      <c r="T252" s="4" t="str">
        <f>HYPERLINK("http://slimages.macys.com/is/image/MCY/19992228 ")</f>
        <v xml:space="preserve">http://slimages.macys.com/is/image/MCY/19992228 </v>
      </c>
    </row>
    <row r="253" spans="1:20" ht="15" customHeight="1" x14ac:dyDescent="0.25">
      <c r="A253" s="4" t="s">
        <v>2489</v>
      </c>
      <c r="B253" s="2" t="s">
        <v>2487</v>
      </c>
      <c r="C253" s="2" t="s">
        <v>2488</v>
      </c>
      <c r="D253" s="5" t="s">
        <v>2490</v>
      </c>
      <c r="E253" s="4" t="s">
        <v>2491</v>
      </c>
      <c r="F253" s="6">
        <v>14277629</v>
      </c>
      <c r="G253" s="3">
        <v>14277629</v>
      </c>
      <c r="H253" s="7">
        <v>194931204382</v>
      </c>
      <c r="I253" s="8" t="s">
        <v>1864</v>
      </c>
      <c r="J253" s="4">
        <v>1</v>
      </c>
      <c r="K253" s="9">
        <v>19.8</v>
      </c>
      <c r="L253" s="9">
        <v>19.8</v>
      </c>
      <c r="M253" s="4" t="s">
        <v>1865</v>
      </c>
      <c r="N253" s="4" t="s">
        <v>2676</v>
      </c>
      <c r="O253" s="4"/>
      <c r="P253" s="4" t="s">
        <v>2622</v>
      </c>
      <c r="Q253" s="4" t="s">
        <v>2643</v>
      </c>
      <c r="R253" s="4"/>
      <c r="S253" s="4"/>
      <c r="T253" s="4" t="str">
        <f>HYPERLINK("http://slimages.macys.com/is/image/MCY/19992228 ")</f>
        <v xml:space="preserve">http://slimages.macys.com/is/image/MCY/19992228 </v>
      </c>
    </row>
    <row r="254" spans="1:20" ht="15" customHeight="1" x14ac:dyDescent="0.25">
      <c r="A254" s="4" t="s">
        <v>2489</v>
      </c>
      <c r="B254" s="2" t="s">
        <v>2487</v>
      </c>
      <c r="C254" s="2" t="s">
        <v>2488</v>
      </c>
      <c r="D254" s="5" t="s">
        <v>2490</v>
      </c>
      <c r="E254" s="4" t="s">
        <v>2491</v>
      </c>
      <c r="F254" s="6">
        <v>14277629</v>
      </c>
      <c r="G254" s="3">
        <v>14277629</v>
      </c>
      <c r="H254" s="7">
        <v>733003634759</v>
      </c>
      <c r="I254" s="8" t="s">
        <v>1371</v>
      </c>
      <c r="J254" s="4">
        <v>1</v>
      </c>
      <c r="K254" s="9">
        <v>21.99</v>
      </c>
      <c r="L254" s="9">
        <v>21.99</v>
      </c>
      <c r="M254" s="4" t="s">
        <v>1372</v>
      </c>
      <c r="N254" s="4" t="s">
        <v>2505</v>
      </c>
      <c r="O254" s="4" t="s">
        <v>2671</v>
      </c>
      <c r="P254" s="4" t="s">
        <v>2515</v>
      </c>
      <c r="Q254" s="4" t="s">
        <v>2672</v>
      </c>
      <c r="R254" s="4"/>
      <c r="S254" s="4"/>
      <c r="T254" s="4" t="str">
        <f>HYPERLINK("http://slimages.macys.com/is/image/MCY/20007759 ")</f>
        <v xml:space="preserve">http://slimages.macys.com/is/image/MCY/20007759 </v>
      </c>
    </row>
    <row r="255" spans="1:20" ht="15" customHeight="1" x14ac:dyDescent="0.25">
      <c r="A255" s="4" t="s">
        <v>2489</v>
      </c>
      <c r="B255" s="2" t="s">
        <v>2487</v>
      </c>
      <c r="C255" s="2" t="s">
        <v>2488</v>
      </c>
      <c r="D255" s="5" t="s">
        <v>2490</v>
      </c>
      <c r="E255" s="4" t="s">
        <v>2491</v>
      </c>
      <c r="F255" s="6">
        <v>14277629</v>
      </c>
      <c r="G255" s="3">
        <v>14277629</v>
      </c>
      <c r="H255" s="7">
        <v>733004057519</v>
      </c>
      <c r="I255" s="8" t="s">
        <v>1373</v>
      </c>
      <c r="J255" s="4">
        <v>1</v>
      </c>
      <c r="K255" s="9">
        <v>6.99</v>
      </c>
      <c r="L255" s="9">
        <v>6.99</v>
      </c>
      <c r="M255" s="4" t="s">
        <v>1374</v>
      </c>
      <c r="N255" s="4" t="s">
        <v>2682</v>
      </c>
      <c r="O255" s="4" t="s">
        <v>2498</v>
      </c>
      <c r="P255" s="4" t="s">
        <v>2520</v>
      </c>
      <c r="Q255" s="4" t="s">
        <v>2521</v>
      </c>
      <c r="R255" s="4"/>
      <c r="S255" s="4"/>
      <c r="T255" s="4" t="str">
        <f>HYPERLINK("http://slimages.macys.com/is/image/MCY/19800084 ")</f>
        <v xml:space="preserve">http://slimages.macys.com/is/image/MCY/19800084 </v>
      </c>
    </row>
    <row r="256" spans="1:20" ht="15" customHeight="1" x14ac:dyDescent="0.25">
      <c r="A256" s="4" t="s">
        <v>2489</v>
      </c>
      <c r="B256" s="2" t="s">
        <v>2487</v>
      </c>
      <c r="C256" s="2" t="s">
        <v>2488</v>
      </c>
      <c r="D256" s="5" t="s">
        <v>2490</v>
      </c>
      <c r="E256" s="4" t="s">
        <v>2491</v>
      </c>
      <c r="F256" s="6">
        <v>14277629</v>
      </c>
      <c r="G256" s="3">
        <v>14277629</v>
      </c>
      <c r="H256" s="7">
        <v>633731114960</v>
      </c>
      <c r="I256" s="8" t="s">
        <v>1842</v>
      </c>
      <c r="J256" s="4">
        <v>1</v>
      </c>
      <c r="K256" s="9">
        <v>17.989999999999998</v>
      </c>
      <c r="L256" s="9">
        <v>17.989999999999998</v>
      </c>
      <c r="M256" s="4" t="s">
        <v>1843</v>
      </c>
      <c r="N256" s="4" t="s">
        <v>2664</v>
      </c>
      <c r="O256" s="4" t="s">
        <v>2498</v>
      </c>
      <c r="P256" s="4" t="s">
        <v>2499</v>
      </c>
      <c r="Q256" s="4" t="s">
        <v>2752</v>
      </c>
      <c r="R256" s="4" t="s">
        <v>2552</v>
      </c>
      <c r="S256" s="4" t="s">
        <v>2834</v>
      </c>
      <c r="T256" s="4" t="str">
        <f>HYPERLINK("http://slimages.macys.com/is/image/MCY/14565373 ")</f>
        <v xml:space="preserve">http://slimages.macys.com/is/image/MCY/14565373 </v>
      </c>
    </row>
    <row r="257" spans="1:20" ht="15" customHeight="1" x14ac:dyDescent="0.25">
      <c r="A257" s="4" t="s">
        <v>2489</v>
      </c>
      <c r="B257" s="2" t="s">
        <v>2487</v>
      </c>
      <c r="C257" s="2" t="s">
        <v>2488</v>
      </c>
      <c r="D257" s="5" t="s">
        <v>2490</v>
      </c>
      <c r="E257" s="4" t="s">
        <v>2491</v>
      </c>
      <c r="F257" s="6">
        <v>14277629</v>
      </c>
      <c r="G257" s="3">
        <v>14277629</v>
      </c>
      <c r="H257" s="7">
        <v>762120077873</v>
      </c>
      <c r="I257" s="8" t="s">
        <v>1779</v>
      </c>
      <c r="J257" s="4">
        <v>1</v>
      </c>
      <c r="K257" s="9">
        <v>16.989999999999998</v>
      </c>
      <c r="L257" s="9">
        <v>16.989999999999998</v>
      </c>
      <c r="M257" s="4" t="s">
        <v>1780</v>
      </c>
      <c r="N257" s="4" t="s">
        <v>2523</v>
      </c>
      <c r="O257" s="4">
        <v>7</v>
      </c>
      <c r="P257" s="4" t="s">
        <v>2520</v>
      </c>
      <c r="Q257" s="4" t="s">
        <v>2528</v>
      </c>
      <c r="R257" s="4"/>
      <c r="S257" s="4"/>
      <c r="T257" s="4" t="str">
        <f>HYPERLINK("http://slimages.macys.com/is/image/MCY/20669891 ")</f>
        <v xml:space="preserve">http://slimages.macys.com/is/image/MCY/20669891 </v>
      </c>
    </row>
    <row r="258" spans="1:20" ht="15" customHeight="1" x14ac:dyDescent="0.25">
      <c r="A258" s="4" t="s">
        <v>2489</v>
      </c>
      <c r="B258" s="2" t="s">
        <v>2487</v>
      </c>
      <c r="C258" s="2" t="s">
        <v>2488</v>
      </c>
      <c r="D258" s="5" t="s">
        <v>2490</v>
      </c>
      <c r="E258" s="4" t="s">
        <v>2491</v>
      </c>
      <c r="F258" s="6">
        <v>14277629</v>
      </c>
      <c r="G258" s="3">
        <v>14277629</v>
      </c>
      <c r="H258" s="7">
        <v>733003925789</v>
      </c>
      <c r="I258" s="8" t="s">
        <v>1375</v>
      </c>
      <c r="J258" s="4">
        <v>1</v>
      </c>
      <c r="K258" s="9">
        <v>6.99</v>
      </c>
      <c r="L258" s="9">
        <v>6.99</v>
      </c>
      <c r="M258" s="4" t="s">
        <v>2558</v>
      </c>
      <c r="N258" s="4" t="s">
        <v>2638</v>
      </c>
      <c r="O258" s="4" t="s">
        <v>2601</v>
      </c>
      <c r="P258" s="4" t="s">
        <v>2503</v>
      </c>
      <c r="Q258" s="4" t="s">
        <v>2504</v>
      </c>
      <c r="R258" s="4"/>
      <c r="S258" s="4"/>
      <c r="T258" s="4" t="str">
        <f>HYPERLINK("http://slimages.macys.com/is/image/MCY/19762874 ")</f>
        <v xml:space="preserve">http://slimages.macys.com/is/image/MCY/19762874 </v>
      </c>
    </row>
    <row r="259" spans="1:20" ht="15" customHeight="1" x14ac:dyDescent="0.25">
      <c r="A259" s="4" t="s">
        <v>2489</v>
      </c>
      <c r="B259" s="2" t="s">
        <v>2487</v>
      </c>
      <c r="C259" s="2" t="s">
        <v>2488</v>
      </c>
      <c r="D259" s="5" t="s">
        <v>2490</v>
      </c>
      <c r="E259" s="4" t="s">
        <v>2491</v>
      </c>
      <c r="F259" s="6">
        <v>14277629</v>
      </c>
      <c r="G259" s="3">
        <v>14277629</v>
      </c>
      <c r="H259" s="7">
        <v>733002399024</v>
      </c>
      <c r="I259" s="8" t="s">
        <v>2141</v>
      </c>
      <c r="J259" s="4">
        <v>1</v>
      </c>
      <c r="K259" s="9">
        <v>21.99</v>
      </c>
      <c r="L259" s="9">
        <v>21.99</v>
      </c>
      <c r="M259" s="4" t="s">
        <v>3216</v>
      </c>
      <c r="N259" s="4" t="s">
        <v>2501</v>
      </c>
      <c r="O259" s="4" t="s">
        <v>2555</v>
      </c>
      <c r="P259" s="4" t="s">
        <v>2543</v>
      </c>
      <c r="Q259" s="4" t="s">
        <v>2528</v>
      </c>
      <c r="R259" s="4"/>
      <c r="S259" s="4"/>
      <c r="T259" s="4" t="str">
        <f>HYPERLINK("http://slimages.macys.com/is/image/MCY/18721916 ")</f>
        <v xml:space="preserve">http://slimages.macys.com/is/image/MCY/18721916 </v>
      </c>
    </row>
    <row r="260" spans="1:20" ht="15" customHeight="1" x14ac:dyDescent="0.25">
      <c r="A260" s="4" t="s">
        <v>2489</v>
      </c>
      <c r="B260" s="2" t="s">
        <v>2487</v>
      </c>
      <c r="C260" s="2" t="s">
        <v>2488</v>
      </c>
      <c r="D260" s="5" t="s">
        <v>2490</v>
      </c>
      <c r="E260" s="4" t="s">
        <v>2491</v>
      </c>
      <c r="F260" s="6">
        <v>14277629</v>
      </c>
      <c r="G260" s="3">
        <v>14277629</v>
      </c>
      <c r="H260" s="7">
        <v>766360684990</v>
      </c>
      <c r="I260" s="8" t="s">
        <v>1376</v>
      </c>
      <c r="J260" s="4">
        <v>1</v>
      </c>
      <c r="K260" s="9">
        <v>16.989999999999998</v>
      </c>
      <c r="L260" s="9">
        <v>16.989999999999998</v>
      </c>
      <c r="M260" s="4" t="s">
        <v>1377</v>
      </c>
      <c r="N260" s="4" t="s">
        <v>2561</v>
      </c>
      <c r="O260" s="4" t="s">
        <v>2587</v>
      </c>
      <c r="P260" s="4" t="s">
        <v>2520</v>
      </c>
      <c r="Q260" s="4" t="s">
        <v>2528</v>
      </c>
      <c r="R260" s="4"/>
      <c r="S260" s="4"/>
      <c r="T260" s="4" t="str">
        <f>HYPERLINK("http://slimages.macys.com/is/image/MCY/21048834 ")</f>
        <v xml:space="preserve">http://slimages.macys.com/is/image/MCY/21048834 </v>
      </c>
    </row>
    <row r="261" spans="1:20" ht="15" customHeight="1" x14ac:dyDescent="0.25">
      <c r="A261" s="4" t="s">
        <v>2489</v>
      </c>
      <c r="B261" s="2" t="s">
        <v>2487</v>
      </c>
      <c r="C261" s="2" t="s">
        <v>2488</v>
      </c>
      <c r="D261" s="5" t="s">
        <v>2490</v>
      </c>
      <c r="E261" s="4" t="s">
        <v>2491</v>
      </c>
      <c r="F261" s="6">
        <v>14277629</v>
      </c>
      <c r="G261" s="3">
        <v>14277629</v>
      </c>
      <c r="H261" s="7">
        <v>733004730122</v>
      </c>
      <c r="I261" s="8" t="s">
        <v>1378</v>
      </c>
      <c r="J261" s="4">
        <v>1</v>
      </c>
      <c r="K261" s="9">
        <v>19.989999999999998</v>
      </c>
      <c r="L261" s="9">
        <v>19.989999999999998</v>
      </c>
      <c r="M261" s="4" t="s">
        <v>1379</v>
      </c>
      <c r="N261" s="4" t="s">
        <v>2571</v>
      </c>
      <c r="O261" s="4" t="s">
        <v>2498</v>
      </c>
      <c r="P261" s="4" t="s">
        <v>2520</v>
      </c>
      <c r="Q261" s="4" t="s">
        <v>2521</v>
      </c>
      <c r="R261" s="4"/>
      <c r="S261" s="4"/>
      <c r="T261" s="4" t="str">
        <f>HYPERLINK("http://slimages.macys.com/is/image/MCY/20672981 ")</f>
        <v xml:space="preserve">http://slimages.macys.com/is/image/MCY/20672981 </v>
      </c>
    </row>
    <row r="262" spans="1:20" ht="15" customHeight="1" x14ac:dyDescent="0.25">
      <c r="A262" s="4" t="s">
        <v>2489</v>
      </c>
      <c r="B262" s="2" t="s">
        <v>2487</v>
      </c>
      <c r="C262" s="2" t="s">
        <v>2488</v>
      </c>
      <c r="D262" s="5" t="s">
        <v>2490</v>
      </c>
      <c r="E262" s="4" t="s">
        <v>2491</v>
      </c>
      <c r="F262" s="6">
        <v>14277629</v>
      </c>
      <c r="G262" s="3">
        <v>14277629</v>
      </c>
      <c r="H262" s="7">
        <v>733004103117</v>
      </c>
      <c r="I262" s="8" t="s">
        <v>2438</v>
      </c>
      <c r="J262" s="4">
        <v>1</v>
      </c>
      <c r="K262" s="9">
        <v>22.99</v>
      </c>
      <c r="L262" s="9">
        <v>22.99</v>
      </c>
      <c r="M262" s="4" t="s">
        <v>2439</v>
      </c>
      <c r="N262" s="4" t="s">
        <v>2501</v>
      </c>
      <c r="O262" s="4" t="s">
        <v>2498</v>
      </c>
      <c r="P262" s="4" t="s">
        <v>2543</v>
      </c>
      <c r="Q262" s="4" t="s">
        <v>2528</v>
      </c>
      <c r="R262" s="4"/>
      <c r="S262" s="4"/>
      <c r="T262" s="4" t="str">
        <f>HYPERLINK("http://slimages.macys.com/is/image/MCY/19988481 ")</f>
        <v xml:space="preserve">http://slimages.macys.com/is/image/MCY/19988481 </v>
      </c>
    </row>
    <row r="263" spans="1:20" ht="15" customHeight="1" x14ac:dyDescent="0.25">
      <c r="A263" s="4" t="s">
        <v>2489</v>
      </c>
      <c r="B263" s="2" t="s">
        <v>2487</v>
      </c>
      <c r="C263" s="2" t="s">
        <v>2488</v>
      </c>
      <c r="D263" s="5" t="s">
        <v>2490</v>
      </c>
      <c r="E263" s="4" t="s">
        <v>2491</v>
      </c>
      <c r="F263" s="6">
        <v>14277629</v>
      </c>
      <c r="G263" s="3">
        <v>14277629</v>
      </c>
      <c r="H263" s="7">
        <v>733004297793</v>
      </c>
      <c r="I263" s="8" t="s">
        <v>1380</v>
      </c>
      <c r="J263" s="4">
        <v>1</v>
      </c>
      <c r="K263" s="9">
        <v>27.99</v>
      </c>
      <c r="L263" s="9">
        <v>27.99</v>
      </c>
      <c r="M263" s="4" t="s">
        <v>2949</v>
      </c>
      <c r="N263" s="4" t="s">
        <v>2561</v>
      </c>
      <c r="O263" s="4" t="s">
        <v>2555</v>
      </c>
      <c r="P263" s="4" t="s">
        <v>2515</v>
      </c>
      <c r="Q263" s="4" t="s">
        <v>2672</v>
      </c>
      <c r="R263" s="4"/>
      <c r="S263" s="4"/>
      <c r="T263" s="4" t="str">
        <f>HYPERLINK("http://slimages.macys.com/is/image/MCY/20143278 ")</f>
        <v xml:space="preserve">http://slimages.macys.com/is/image/MCY/20143278 </v>
      </c>
    </row>
    <row r="264" spans="1:20" ht="15" customHeight="1" x14ac:dyDescent="0.25">
      <c r="A264" s="4" t="s">
        <v>2489</v>
      </c>
      <c r="B264" s="2" t="s">
        <v>2487</v>
      </c>
      <c r="C264" s="2" t="s">
        <v>2488</v>
      </c>
      <c r="D264" s="5" t="s">
        <v>2490</v>
      </c>
      <c r="E264" s="4" t="s">
        <v>2491</v>
      </c>
      <c r="F264" s="6">
        <v>14277629</v>
      </c>
      <c r="G264" s="3">
        <v>14277629</v>
      </c>
      <c r="H264" s="7">
        <v>733004103018</v>
      </c>
      <c r="I264" s="8" t="s">
        <v>2048</v>
      </c>
      <c r="J264" s="4">
        <v>1</v>
      </c>
      <c r="K264" s="9">
        <v>22.99</v>
      </c>
      <c r="L264" s="9">
        <v>22.99</v>
      </c>
      <c r="M264" s="4" t="s">
        <v>2049</v>
      </c>
      <c r="N264" s="4" t="s">
        <v>2523</v>
      </c>
      <c r="O264" s="4" t="s">
        <v>2519</v>
      </c>
      <c r="P264" s="4" t="s">
        <v>2543</v>
      </c>
      <c r="Q264" s="4" t="s">
        <v>2528</v>
      </c>
      <c r="R264" s="4"/>
      <c r="S264" s="4"/>
      <c r="T264" s="4" t="str">
        <f>HYPERLINK("http://slimages.macys.com/is/image/MCY/20084026 ")</f>
        <v xml:space="preserve">http://slimages.macys.com/is/image/MCY/20084026 </v>
      </c>
    </row>
    <row r="265" spans="1:20" ht="15" customHeight="1" x14ac:dyDescent="0.25">
      <c r="A265" s="4" t="s">
        <v>2489</v>
      </c>
      <c r="B265" s="2" t="s">
        <v>2487</v>
      </c>
      <c r="C265" s="2" t="s">
        <v>2488</v>
      </c>
      <c r="D265" s="5" t="s">
        <v>2490</v>
      </c>
      <c r="E265" s="4" t="s">
        <v>2491</v>
      </c>
      <c r="F265" s="6">
        <v>14277629</v>
      </c>
      <c r="G265" s="3">
        <v>14277629</v>
      </c>
      <c r="H265" s="7">
        <v>733002930166</v>
      </c>
      <c r="I265" s="8" t="s">
        <v>1381</v>
      </c>
      <c r="J265" s="4">
        <v>1</v>
      </c>
      <c r="K265" s="9">
        <v>6.99</v>
      </c>
      <c r="L265" s="9">
        <v>6.99</v>
      </c>
      <c r="M265" s="4" t="s">
        <v>2892</v>
      </c>
      <c r="N265" s="4" t="s">
        <v>2731</v>
      </c>
      <c r="O265" s="4" t="s">
        <v>2555</v>
      </c>
      <c r="P265" s="4" t="s">
        <v>2543</v>
      </c>
      <c r="Q265" s="4" t="s">
        <v>2528</v>
      </c>
      <c r="R265" s="4"/>
      <c r="S265" s="4"/>
      <c r="T265" s="4" t="str">
        <f>HYPERLINK("http://slimages.macys.com/is/image/MCY/17688402 ")</f>
        <v xml:space="preserve">http://slimages.macys.com/is/image/MCY/17688402 </v>
      </c>
    </row>
    <row r="266" spans="1:20" ht="15" customHeight="1" x14ac:dyDescent="0.25">
      <c r="A266" s="4" t="s">
        <v>2489</v>
      </c>
      <c r="B266" s="2" t="s">
        <v>2487</v>
      </c>
      <c r="C266" s="2" t="s">
        <v>2488</v>
      </c>
      <c r="D266" s="5" t="s">
        <v>2490</v>
      </c>
      <c r="E266" s="4" t="s">
        <v>2491</v>
      </c>
      <c r="F266" s="6">
        <v>14277629</v>
      </c>
      <c r="G266" s="3">
        <v>14277629</v>
      </c>
      <c r="H266" s="7">
        <v>733003735289</v>
      </c>
      <c r="I266" s="8" t="s">
        <v>2917</v>
      </c>
      <c r="J266" s="4">
        <v>1</v>
      </c>
      <c r="K266" s="9">
        <v>21.99</v>
      </c>
      <c r="L266" s="9">
        <v>21.99</v>
      </c>
      <c r="M266" s="4" t="s">
        <v>1382</v>
      </c>
      <c r="N266" s="4"/>
      <c r="O266" s="4" t="s">
        <v>2519</v>
      </c>
      <c r="P266" s="4" t="s">
        <v>2543</v>
      </c>
      <c r="Q266" s="4" t="s">
        <v>2528</v>
      </c>
      <c r="R266" s="4"/>
      <c r="S266" s="4"/>
      <c r="T266" s="4" t="str">
        <f>HYPERLINK("http://slimages.macys.com/is/image/MCY/19631899 ")</f>
        <v xml:space="preserve">http://slimages.macys.com/is/image/MCY/19631899 </v>
      </c>
    </row>
    <row r="267" spans="1:20" ht="15" customHeight="1" x14ac:dyDescent="0.25">
      <c r="A267" s="4" t="s">
        <v>2489</v>
      </c>
      <c r="B267" s="2" t="s">
        <v>2487</v>
      </c>
      <c r="C267" s="2" t="s">
        <v>2488</v>
      </c>
      <c r="D267" s="5" t="s">
        <v>2490</v>
      </c>
      <c r="E267" s="4" t="s">
        <v>2491</v>
      </c>
      <c r="F267" s="6">
        <v>14277629</v>
      </c>
      <c r="G267" s="3">
        <v>14277629</v>
      </c>
      <c r="H267" s="7">
        <v>195883642307</v>
      </c>
      <c r="I267" s="8" t="s">
        <v>1383</v>
      </c>
      <c r="J267" s="4">
        <v>1</v>
      </c>
      <c r="K267" s="9">
        <v>7.99</v>
      </c>
      <c r="L267" s="9">
        <v>7.99</v>
      </c>
      <c r="M267" s="4" t="s">
        <v>1774</v>
      </c>
      <c r="N267" s="4" t="s">
        <v>2526</v>
      </c>
      <c r="O267" s="4">
        <v>7</v>
      </c>
      <c r="P267" s="4" t="s">
        <v>2506</v>
      </c>
      <c r="Q267" s="4" t="s">
        <v>2527</v>
      </c>
      <c r="R267" s="4"/>
      <c r="S267" s="4"/>
      <c r="T267" s="4" t="str">
        <f>HYPERLINK("http://slimages.macys.com/is/image/MCY/20726222 ")</f>
        <v xml:space="preserve">http://slimages.macys.com/is/image/MCY/20726222 </v>
      </c>
    </row>
    <row r="268" spans="1:20" ht="15" customHeight="1" x14ac:dyDescent="0.25">
      <c r="A268" s="4" t="s">
        <v>2489</v>
      </c>
      <c r="B268" s="2" t="s">
        <v>2487</v>
      </c>
      <c r="C268" s="2" t="s">
        <v>2488</v>
      </c>
      <c r="D268" s="5" t="s">
        <v>2490</v>
      </c>
      <c r="E268" s="4" t="s">
        <v>2491</v>
      </c>
      <c r="F268" s="6">
        <v>14277629</v>
      </c>
      <c r="G268" s="3">
        <v>14277629</v>
      </c>
      <c r="H268" s="7">
        <v>733004722110</v>
      </c>
      <c r="I268" s="8" t="s">
        <v>1384</v>
      </c>
      <c r="J268" s="4">
        <v>1</v>
      </c>
      <c r="K268" s="9">
        <v>20.99</v>
      </c>
      <c r="L268" s="9">
        <v>20.99</v>
      </c>
      <c r="M268" s="4" t="s">
        <v>2787</v>
      </c>
      <c r="N268" s="4" t="s">
        <v>2501</v>
      </c>
      <c r="O268" s="4" t="s">
        <v>2601</v>
      </c>
      <c r="P268" s="4" t="s">
        <v>2503</v>
      </c>
      <c r="Q268" s="4" t="s">
        <v>2504</v>
      </c>
      <c r="R268" s="4"/>
      <c r="S268" s="4"/>
      <c r="T268" s="4" t="str">
        <f>HYPERLINK("http://slimages.macys.com/is/image/MCY/21302919 ")</f>
        <v xml:space="preserve">http://slimages.macys.com/is/image/MCY/21302919 </v>
      </c>
    </row>
    <row r="269" spans="1:20" ht="15" customHeight="1" x14ac:dyDescent="0.25">
      <c r="A269" s="4" t="s">
        <v>2489</v>
      </c>
      <c r="B269" s="2" t="s">
        <v>2487</v>
      </c>
      <c r="C269" s="2" t="s">
        <v>2488</v>
      </c>
      <c r="D269" s="5" t="s">
        <v>2490</v>
      </c>
      <c r="E269" s="4" t="s">
        <v>2491</v>
      </c>
      <c r="F269" s="6">
        <v>14277629</v>
      </c>
      <c r="G269" s="3">
        <v>14277629</v>
      </c>
      <c r="H269" s="7">
        <v>195958061163</v>
      </c>
      <c r="I269" s="8" t="s">
        <v>2969</v>
      </c>
      <c r="J269" s="4">
        <v>2</v>
      </c>
      <c r="K269" s="9">
        <v>23.99</v>
      </c>
      <c r="L269" s="9">
        <v>47.98</v>
      </c>
      <c r="M269" s="4" t="s">
        <v>2856</v>
      </c>
      <c r="N269" s="4" t="s">
        <v>2544</v>
      </c>
      <c r="O269" s="4" t="s">
        <v>2559</v>
      </c>
      <c r="P269" s="4" t="s">
        <v>2740</v>
      </c>
      <c r="Q269" s="4" t="s">
        <v>2656</v>
      </c>
      <c r="R269" s="4"/>
      <c r="S269" s="4"/>
      <c r="T269" s="4" t="str">
        <f>HYPERLINK("http://slimages.macys.com/is/image/MCY/20388552 ")</f>
        <v xml:space="preserve">http://slimages.macys.com/is/image/MCY/20388552 </v>
      </c>
    </row>
    <row r="270" spans="1:20" ht="15" customHeight="1" x14ac:dyDescent="0.25">
      <c r="A270" s="4" t="s">
        <v>2489</v>
      </c>
      <c r="B270" s="2" t="s">
        <v>2487</v>
      </c>
      <c r="C270" s="2" t="s">
        <v>2488</v>
      </c>
      <c r="D270" s="5" t="s">
        <v>2490</v>
      </c>
      <c r="E270" s="4" t="s">
        <v>2491</v>
      </c>
      <c r="F270" s="6">
        <v>14277629</v>
      </c>
      <c r="G270" s="3">
        <v>14277629</v>
      </c>
      <c r="H270" s="7">
        <v>733004722882</v>
      </c>
      <c r="I270" s="8" t="s">
        <v>3200</v>
      </c>
      <c r="J270" s="4">
        <v>1</v>
      </c>
      <c r="K270" s="9">
        <v>28.99</v>
      </c>
      <c r="L270" s="9">
        <v>28.99</v>
      </c>
      <c r="M270" s="4" t="s">
        <v>3201</v>
      </c>
      <c r="N270" s="4" t="s">
        <v>2531</v>
      </c>
      <c r="O270" s="4"/>
      <c r="P270" s="4" t="s">
        <v>2503</v>
      </c>
      <c r="Q270" s="4" t="s">
        <v>2504</v>
      </c>
      <c r="R270" s="4"/>
      <c r="S270" s="4"/>
      <c r="T270" s="4" t="str">
        <f>HYPERLINK("http://slimages.macys.com/is/image/MCY/19977928 ")</f>
        <v xml:space="preserve">http://slimages.macys.com/is/image/MCY/19977928 </v>
      </c>
    </row>
    <row r="271" spans="1:20" ht="15" customHeight="1" x14ac:dyDescent="0.25">
      <c r="A271" s="4" t="s">
        <v>2489</v>
      </c>
      <c r="B271" s="2" t="s">
        <v>2487</v>
      </c>
      <c r="C271" s="2" t="s">
        <v>2488</v>
      </c>
      <c r="D271" s="5" t="s">
        <v>2490</v>
      </c>
      <c r="E271" s="4" t="s">
        <v>2491</v>
      </c>
      <c r="F271" s="6">
        <v>14277629</v>
      </c>
      <c r="G271" s="3">
        <v>14277629</v>
      </c>
      <c r="H271" s="7">
        <v>733001050667</v>
      </c>
      <c r="I271" s="8" t="s">
        <v>2933</v>
      </c>
      <c r="J271" s="4">
        <v>1</v>
      </c>
      <c r="K271" s="9">
        <v>8.99</v>
      </c>
      <c r="L271" s="9">
        <v>8.99</v>
      </c>
      <c r="M271" s="4" t="s">
        <v>2674</v>
      </c>
      <c r="N271" s="4" t="s">
        <v>2501</v>
      </c>
      <c r="O271" s="4" t="s">
        <v>2601</v>
      </c>
      <c r="P271" s="4" t="s">
        <v>2503</v>
      </c>
      <c r="Q271" s="4" t="s">
        <v>2504</v>
      </c>
      <c r="R271" s="4"/>
      <c r="S271" s="4"/>
      <c r="T271" s="4" t="str">
        <f>HYPERLINK("http://slimages.macys.com/is/image/MCY/17586312 ")</f>
        <v xml:space="preserve">http://slimages.macys.com/is/image/MCY/17586312 </v>
      </c>
    </row>
    <row r="272" spans="1:20" ht="15" customHeight="1" x14ac:dyDescent="0.25">
      <c r="A272" s="4" t="s">
        <v>2489</v>
      </c>
      <c r="B272" s="2" t="s">
        <v>2487</v>
      </c>
      <c r="C272" s="2" t="s">
        <v>2488</v>
      </c>
      <c r="D272" s="5" t="s">
        <v>2490</v>
      </c>
      <c r="E272" s="4" t="s">
        <v>2491</v>
      </c>
      <c r="F272" s="6">
        <v>14277629</v>
      </c>
      <c r="G272" s="3">
        <v>14277629</v>
      </c>
      <c r="H272" s="7">
        <v>195883460666</v>
      </c>
      <c r="I272" s="8" t="s">
        <v>1385</v>
      </c>
      <c r="J272" s="4">
        <v>2</v>
      </c>
      <c r="K272" s="9">
        <v>10.99</v>
      </c>
      <c r="L272" s="9">
        <v>21.98</v>
      </c>
      <c r="M272" s="4" t="s">
        <v>1220</v>
      </c>
      <c r="N272" s="4" t="s">
        <v>2728</v>
      </c>
      <c r="O272" s="4" t="s">
        <v>2653</v>
      </c>
      <c r="P272" s="4" t="s">
        <v>2536</v>
      </c>
      <c r="Q272" s="4" t="s">
        <v>2944</v>
      </c>
      <c r="R272" s="4"/>
      <c r="S272" s="4"/>
      <c r="T272" s="4" t="str">
        <f>HYPERLINK("http://slimages.macys.com/is/image/MCY/20191103 ")</f>
        <v xml:space="preserve">http://slimages.macys.com/is/image/MCY/20191103 </v>
      </c>
    </row>
    <row r="273" spans="1:20" ht="15" customHeight="1" x14ac:dyDescent="0.25">
      <c r="A273" s="4" t="s">
        <v>2489</v>
      </c>
      <c r="B273" s="2" t="s">
        <v>2487</v>
      </c>
      <c r="C273" s="2" t="s">
        <v>2488</v>
      </c>
      <c r="D273" s="5" t="s">
        <v>2490</v>
      </c>
      <c r="E273" s="4" t="s">
        <v>2491</v>
      </c>
      <c r="F273" s="6">
        <v>14277629</v>
      </c>
      <c r="G273" s="3">
        <v>14277629</v>
      </c>
      <c r="H273" s="7">
        <v>733003144364</v>
      </c>
      <c r="I273" s="8" t="s">
        <v>1386</v>
      </c>
      <c r="J273" s="4">
        <v>1</v>
      </c>
      <c r="K273" s="9">
        <v>12.99</v>
      </c>
      <c r="L273" s="9">
        <v>12.99</v>
      </c>
      <c r="M273" s="4" t="s">
        <v>3096</v>
      </c>
      <c r="N273" s="4" t="s">
        <v>2665</v>
      </c>
      <c r="O273" s="4" t="s">
        <v>2566</v>
      </c>
      <c r="P273" s="4" t="s">
        <v>2503</v>
      </c>
      <c r="Q273" s="4" t="s">
        <v>2504</v>
      </c>
      <c r="R273" s="4"/>
      <c r="S273" s="4"/>
      <c r="T273" s="4" t="str">
        <f>HYPERLINK("http://slimages.macys.com/is/image/MCY/19218033 ")</f>
        <v xml:space="preserve">http://slimages.macys.com/is/image/MCY/19218033 </v>
      </c>
    </row>
    <row r="274" spans="1:20" ht="15" customHeight="1" x14ac:dyDescent="0.25">
      <c r="A274" s="4" t="s">
        <v>2489</v>
      </c>
      <c r="B274" s="2" t="s">
        <v>2487</v>
      </c>
      <c r="C274" s="2" t="s">
        <v>2488</v>
      </c>
      <c r="D274" s="5" t="s">
        <v>2490</v>
      </c>
      <c r="E274" s="4" t="s">
        <v>2491</v>
      </c>
      <c r="F274" s="6">
        <v>14277629</v>
      </c>
      <c r="G274" s="3">
        <v>14277629</v>
      </c>
      <c r="H274" s="7">
        <v>762120263290</v>
      </c>
      <c r="I274" s="8" t="s">
        <v>1161</v>
      </c>
      <c r="J274" s="4">
        <v>3</v>
      </c>
      <c r="K274" s="9">
        <v>13.99</v>
      </c>
      <c r="L274" s="9">
        <v>41.97</v>
      </c>
      <c r="M274" s="4" t="s">
        <v>3033</v>
      </c>
      <c r="N274" s="4" t="s">
        <v>2514</v>
      </c>
      <c r="O274" s="4" t="s">
        <v>2498</v>
      </c>
      <c r="P274" s="4" t="s">
        <v>2543</v>
      </c>
      <c r="Q274" s="4" t="s">
        <v>2528</v>
      </c>
      <c r="R274" s="4"/>
      <c r="S274" s="4"/>
      <c r="T274" s="4" t="str">
        <f>HYPERLINK("http://slimages.macys.com/is/image/MCY/20846556 ")</f>
        <v xml:space="preserve">http://slimages.macys.com/is/image/MCY/20846556 </v>
      </c>
    </row>
    <row r="275" spans="1:20" ht="15" customHeight="1" x14ac:dyDescent="0.25">
      <c r="A275" s="4" t="s">
        <v>2489</v>
      </c>
      <c r="B275" s="2" t="s">
        <v>2487</v>
      </c>
      <c r="C275" s="2" t="s">
        <v>2488</v>
      </c>
      <c r="D275" s="5" t="s">
        <v>2490</v>
      </c>
      <c r="E275" s="4" t="s">
        <v>2491</v>
      </c>
      <c r="F275" s="6">
        <v>14277629</v>
      </c>
      <c r="G275" s="3">
        <v>14277629</v>
      </c>
      <c r="H275" s="7">
        <v>762120263283</v>
      </c>
      <c r="I275" s="8" t="s">
        <v>3397</v>
      </c>
      <c r="J275" s="4">
        <v>3</v>
      </c>
      <c r="K275" s="9">
        <v>13.99</v>
      </c>
      <c r="L275" s="9">
        <v>41.97</v>
      </c>
      <c r="M275" s="4" t="s">
        <v>3033</v>
      </c>
      <c r="N275" s="4" t="s">
        <v>2514</v>
      </c>
      <c r="O275" s="4" t="s">
        <v>2555</v>
      </c>
      <c r="P275" s="4" t="s">
        <v>2543</v>
      </c>
      <c r="Q275" s="4" t="s">
        <v>2528</v>
      </c>
      <c r="R275" s="4"/>
      <c r="S275" s="4"/>
      <c r="T275" s="4" t="str">
        <f>HYPERLINK("http://slimages.macys.com/is/image/MCY/20846556 ")</f>
        <v xml:space="preserve">http://slimages.macys.com/is/image/MCY/20846556 </v>
      </c>
    </row>
    <row r="276" spans="1:20" ht="15" customHeight="1" x14ac:dyDescent="0.25">
      <c r="A276" s="4" t="s">
        <v>2489</v>
      </c>
      <c r="B276" s="2" t="s">
        <v>2487</v>
      </c>
      <c r="C276" s="2" t="s">
        <v>2488</v>
      </c>
      <c r="D276" s="5" t="s">
        <v>2490</v>
      </c>
      <c r="E276" s="4" t="s">
        <v>2491</v>
      </c>
      <c r="F276" s="6">
        <v>14277629</v>
      </c>
      <c r="G276" s="3">
        <v>14277629</v>
      </c>
      <c r="H276" s="7">
        <v>193666722635</v>
      </c>
      <c r="I276" s="8" t="s">
        <v>1387</v>
      </c>
      <c r="J276" s="4">
        <v>1</v>
      </c>
      <c r="K276" s="9">
        <v>14.99</v>
      </c>
      <c r="L276" s="9">
        <v>14.99</v>
      </c>
      <c r="M276" s="4" t="s">
        <v>2996</v>
      </c>
      <c r="N276" s="4" t="s">
        <v>2501</v>
      </c>
      <c r="O276" s="4" t="s">
        <v>2519</v>
      </c>
      <c r="P276" s="4" t="s">
        <v>2666</v>
      </c>
      <c r="Q276" s="4" t="s">
        <v>2775</v>
      </c>
      <c r="R276" s="4"/>
      <c r="S276" s="4"/>
      <c r="T276" s="4" t="str">
        <f>HYPERLINK("http://slimages.macys.com/is/image/MCY/18619089 ")</f>
        <v xml:space="preserve">http://slimages.macys.com/is/image/MCY/18619089 </v>
      </c>
    </row>
    <row r="277" spans="1:20" ht="15" customHeight="1" x14ac:dyDescent="0.25">
      <c r="A277" s="4" t="s">
        <v>2489</v>
      </c>
      <c r="B277" s="2" t="s">
        <v>2487</v>
      </c>
      <c r="C277" s="2" t="s">
        <v>2488</v>
      </c>
      <c r="D277" s="5" t="s">
        <v>2490</v>
      </c>
      <c r="E277" s="4" t="s">
        <v>2491</v>
      </c>
      <c r="F277" s="6">
        <v>14277629</v>
      </c>
      <c r="G277" s="3">
        <v>14277629</v>
      </c>
      <c r="H277" s="7">
        <v>46094831182</v>
      </c>
      <c r="I277" s="8" t="s">
        <v>3307</v>
      </c>
      <c r="J277" s="4">
        <v>1</v>
      </c>
      <c r="K277" s="9">
        <v>11.99</v>
      </c>
      <c r="L277" s="9">
        <v>11.99</v>
      </c>
      <c r="M277" s="4" t="s">
        <v>3308</v>
      </c>
      <c r="N277" s="4" t="s">
        <v>2567</v>
      </c>
      <c r="O277" s="4" t="s">
        <v>2519</v>
      </c>
      <c r="P277" s="4" t="s">
        <v>2666</v>
      </c>
      <c r="Q277" s="4" t="s">
        <v>2667</v>
      </c>
      <c r="R277" s="4" t="s">
        <v>2552</v>
      </c>
      <c r="S277" s="4" t="s">
        <v>3157</v>
      </c>
      <c r="T277" s="4" t="str">
        <f>HYPERLINK("http://slimages.macys.com/is/image/MCY/12083649 ")</f>
        <v xml:space="preserve">http://slimages.macys.com/is/image/MCY/12083649 </v>
      </c>
    </row>
    <row r="278" spans="1:20" ht="15" customHeight="1" x14ac:dyDescent="0.25">
      <c r="A278" s="4" t="s">
        <v>2489</v>
      </c>
      <c r="B278" s="2" t="s">
        <v>2487</v>
      </c>
      <c r="C278" s="2" t="s">
        <v>2488</v>
      </c>
      <c r="D278" s="5" t="s">
        <v>2490</v>
      </c>
      <c r="E278" s="4" t="s">
        <v>2491</v>
      </c>
      <c r="F278" s="6">
        <v>14277629</v>
      </c>
      <c r="G278" s="3">
        <v>14277629</v>
      </c>
      <c r="H278" s="7">
        <v>193666924954</v>
      </c>
      <c r="I278" s="8" t="s">
        <v>2910</v>
      </c>
      <c r="J278" s="4">
        <v>1</v>
      </c>
      <c r="K278" s="9">
        <v>14.99</v>
      </c>
      <c r="L278" s="9">
        <v>14.99</v>
      </c>
      <c r="M278" s="4">
        <v>4489</v>
      </c>
      <c r="N278" s="4" t="s">
        <v>2514</v>
      </c>
      <c r="O278" s="4" t="s">
        <v>2555</v>
      </c>
      <c r="P278" s="4" t="s">
        <v>2666</v>
      </c>
      <c r="Q278" s="4" t="s">
        <v>2667</v>
      </c>
      <c r="R278" s="4"/>
      <c r="S278" s="4"/>
      <c r="T278" s="4" t="str">
        <f>HYPERLINK("http://slimages.macys.com/is/image/MCY/19348139 ")</f>
        <v xml:space="preserve">http://slimages.macys.com/is/image/MCY/19348139 </v>
      </c>
    </row>
    <row r="279" spans="1:20" ht="15" customHeight="1" x14ac:dyDescent="0.25">
      <c r="A279" s="4" t="s">
        <v>2489</v>
      </c>
      <c r="B279" s="2" t="s">
        <v>2487</v>
      </c>
      <c r="C279" s="2" t="s">
        <v>2488</v>
      </c>
      <c r="D279" s="5" t="s">
        <v>2490</v>
      </c>
      <c r="E279" s="4" t="s">
        <v>2491</v>
      </c>
      <c r="F279" s="6">
        <v>14277629</v>
      </c>
      <c r="G279" s="3">
        <v>14277629</v>
      </c>
      <c r="H279" s="7">
        <v>194257620187</v>
      </c>
      <c r="I279" s="8" t="s">
        <v>1388</v>
      </c>
      <c r="J279" s="4">
        <v>1</v>
      </c>
      <c r="K279" s="9">
        <v>16.899999999999999</v>
      </c>
      <c r="L279" s="9">
        <v>16.899999999999999</v>
      </c>
      <c r="M279" s="4" t="s">
        <v>2950</v>
      </c>
      <c r="N279" s="4" t="s">
        <v>2501</v>
      </c>
      <c r="O279" s="4" t="s">
        <v>2671</v>
      </c>
      <c r="P279" s="4" t="s">
        <v>2619</v>
      </c>
      <c r="Q279" s="4" t="s">
        <v>2500</v>
      </c>
      <c r="R279" s="4"/>
      <c r="S279" s="4"/>
      <c r="T279" s="4" t="str">
        <f>HYPERLINK("http://slimages.macys.com/is/image/MCY/20391417 ")</f>
        <v xml:space="preserve">http://slimages.macys.com/is/image/MCY/20391417 </v>
      </c>
    </row>
    <row r="280" spans="1:20" ht="15" customHeight="1" x14ac:dyDescent="0.25">
      <c r="A280" s="4" t="s">
        <v>2489</v>
      </c>
      <c r="B280" s="2" t="s">
        <v>2487</v>
      </c>
      <c r="C280" s="2" t="s">
        <v>2488</v>
      </c>
      <c r="D280" s="5" t="s">
        <v>2490</v>
      </c>
      <c r="E280" s="4" t="s">
        <v>2491</v>
      </c>
      <c r="F280" s="6">
        <v>14277629</v>
      </c>
      <c r="G280" s="3">
        <v>14277629</v>
      </c>
      <c r="H280" s="7">
        <v>194476844029</v>
      </c>
      <c r="I280" s="8" t="s">
        <v>1389</v>
      </c>
      <c r="J280" s="4">
        <v>1</v>
      </c>
      <c r="K280" s="9">
        <v>45</v>
      </c>
      <c r="L280" s="9">
        <v>45</v>
      </c>
      <c r="M280" s="4" t="s">
        <v>1841</v>
      </c>
      <c r="N280" s="4" t="s">
        <v>2728</v>
      </c>
      <c r="O280" s="4">
        <v>25</v>
      </c>
      <c r="P280" s="4" t="s">
        <v>2725</v>
      </c>
      <c r="Q280" s="4" t="s">
        <v>2932</v>
      </c>
      <c r="R280" s="4"/>
      <c r="S280" s="4"/>
      <c r="T280" s="4" t="str">
        <f>HYPERLINK("http://slimages.macys.com/is/image/MCY/19012121 ")</f>
        <v xml:space="preserve">http://slimages.macys.com/is/image/MCY/19012121 </v>
      </c>
    </row>
    <row r="281" spans="1:20" ht="15" customHeight="1" x14ac:dyDescent="0.25">
      <c r="A281" s="4" t="s">
        <v>2489</v>
      </c>
      <c r="B281" s="2" t="s">
        <v>2487</v>
      </c>
      <c r="C281" s="2" t="s">
        <v>2488</v>
      </c>
      <c r="D281" s="5" t="s">
        <v>2490</v>
      </c>
      <c r="E281" s="4" t="s">
        <v>2491</v>
      </c>
      <c r="F281" s="6">
        <v>14277629</v>
      </c>
      <c r="G281" s="3">
        <v>14277629</v>
      </c>
      <c r="H281" s="7">
        <v>733004748684</v>
      </c>
      <c r="I281" s="8" t="s">
        <v>1390</v>
      </c>
      <c r="J281" s="4">
        <v>1</v>
      </c>
      <c r="K281" s="9">
        <v>7.99</v>
      </c>
      <c r="L281" s="9">
        <v>7.99</v>
      </c>
      <c r="M281" s="4" t="s">
        <v>1315</v>
      </c>
      <c r="N281" s="4" t="s">
        <v>2571</v>
      </c>
      <c r="O281" s="4" t="s">
        <v>2628</v>
      </c>
      <c r="P281" s="4" t="s">
        <v>2503</v>
      </c>
      <c r="Q281" s="4" t="s">
        <v>2504</v>
      </c>
      <c r="R281" s="4"/>
      <c r="S281" s="4"/>
      <c r="T281" s="4" t="str">
        <f>HYPERLINK("http://slimages.macys.com/is/image/MCY/1017764 ")</f>
        <v xml:space="preserve">http://slimages.macys.com/is/image/MCY/1017764 </v>
      </c>
    </row>
    <row r="282" spans="1:20" ht="15" customHeight="1" x14ac:dyDescent="0.25">
      <c r="A282" s="4" t="s">
        <v>2489</v>
      </c>
      <c r="B282" s="2" t="s">
        <v>2487</v>
      </c>
      <c r="C282" s="2" t="s">
        <v>2488</v>
      </c>
      <c r="D282" s="5" t="s">
        <v>2490</v>
      </c>
      <c r="E282" s="4" t="s">
        <v>2491</v>
      </c>
      <c r="F282" s="6">
        <v>14277629</v>
      </c>
      <c r="G282" s="3">
        <v>14277629</v>
      </c>
      <c r="H282" s="7">
        <v>733002398997</v>
      </c>
      <c r="I282" s="8" t="s">
        <v>3179</v>
      </c>
      <c r="J282" s="4">
        <v>1</v>
      </c>
      <c r="K282" s="9">
        <v>21.99</v>
      </c>
      <c r="L282" s="9">
        <v>21.99</v>
      </c>
      <c r="M282" s="4" t="s">
        <v>2957</v>
      </c>
      <c r="N282" s="4"/>
      <c r="O282" s="4" t="s">
        <v>2498</v>
      </c>
      <c r="P282" s="4" t="s">
        <v>2543</v>
      </c>
      <c r="Q282" s="4" t="s">
        <v>2528</v>
      </c>
      <c r="R282" s="4"/>
      <c r="S282" s="4"/>
      <c r="T282" s="4" t="str">
        <f>HYPERLINK("http://slimages.macys.com/is/image/MCY/18721914 ")</f>
        <v xml:space="preserve">http://slimages.macys.com/is/image/MCY/18721914 </v>
      </c>
    </row>
    <row r="283" spans="1:20" ht="15" customHeight="1" x14ac:dyDescent="0.25">
      <c r="A283" s="4" t="s">
        <v>2489</v>
      </c>
      <c r="B283" s="2" t="s">
        <v>2487</v>
      </c>
      <c r="C283" s="2" t="s">
        <v>2488</v>
      </c>
      <c r="D283" s="5" t="s">
        <v>2490</v>
      </c>
      <c r="E283" s="4" t="s">
        <v>2491</v>
      </c>
      <c r="F283" s="6">
        <v>14277629</v>
      </c>
      <c r="G283" s="3">
        <v>14277629</v>
      </c>
      <c r="H283" s="7">
        <v>733003926878</v>
      </c>
      <c r="I283" s="8" t="s">
        <v>1391</v>
      </c>
      <c r="J283" s="4">
        <v>1</v>
      </c>
      <c r="K283" s="9">
        <v>5.99</v>
      </c>
      <c r="L283" s="9">
        <v>5.99</v>
      </c>
      <c r="M283" s="4" t="s">
        <v>1227</v>
      </c>
      <c r="N283" s="4" t="s">
        <v>2682</v>
      </c>
      <c r="O283" s="4" t="s">
        <v>2559</v>
      </c>
      <c r="P283" s="4" t="s">
        <v>2503</v>
      </c>
      <c r="Q283" s="4" t="s">
        <v>2504</v>
      </c>
      <c r="R283" s="4"/>
      <c r="S283" s="4"/>
      <c r="T283" s="4" t="str">
        <f>HYPERLINK("http://slimages.macys.com/is/image/MCY/903950 ")</f>
        <v xml:space="preserve">http://slimages.macys.com/is/image/MCY/903950 </v>
      </c>
    </row>
    <row r="284" spans="1:20" ht="15" customHeight="1" x14ac:dyDescent="0.25">
      <c r="A284" s="4" t="s">
        <v>2489</v>
      </c>
      <c r="B284" s="2" t="s">
        <v>2487</v>
      </c>
      <c r="C284" s="2" t="s">
        <v>2488</v>
      </c>
      <c r="D284" s="5" t="s">
        <v>2490</v>
      </c>
      <c r="E284" s="4" t="s">
        <v>2491</v>
      </c>
      <c r="F284" s="6">
        <v>14277629</v>
      </c>
      <c r="G284" s="3">
        <v>14277629</v>
      </c>
      <c r="H284" s="7">
        <v>733003924331</v>
      </c>
      <c r="I284" s="8" t="s">
        <v>1392</v>
      </c>
      <c r="J284" s="4">
        <v>1</v>
      </c>
      <c r="K284" s="9">
        <v>6.99</v>
      </c>
      <c r="L284" s="9">
        <v>6.99</v>
      </c>
      <c r="M284" s="4" t="s">
        <v>2786</v>
      </c>
      <c r="N284" s="4" t="s">
        <v>2600</v>
      </c>
      <c r="O284" s="4" t="s">
        <v>2559</v>
      </c>
      <c r="P284" s="4" t="s">
        <v>2503</v>
      </c>
      <c r="Q284" s="4" t="s">
        <v>2504</v>
      </c>
      <c r="R284" s="4"/>
      <c r="S284" s="4"/>
      <c r="T284" s="4" t="str">
        <f>HYPERLINK("http://slimages.macys.com/is/image/MCY/19507928 ")</f>
        <v xml:space="preserve">http://slimages.macys.com/is/image/MCY/19507928 </v>
      </c>
    </row>
    <row r="285" spans="1:20" ht="15" customHeight="1" x14ac:dyDescent="0.25">
      <c r="A285" s="4" t="s">
        <v>2489</v>
      </c>
      <c r="B285" s="2" t="s">
        <v>2487</v>
      </c>
      <c r="C285" s="2" t="s">
        <v>2488</v>
      </c>
      <c r="D285" s="5" t="s">
        <v>2490</v>
      </c>
      <c r="E285" s="4" t="s">
        <v>2491</v>
      </c>
      <c r="F285" s="6">
        <v>14277629</v>
      </c>
      <c r="G285" s="3">
        <v>14277629</v>
      </c>
      <c r="H285" s="7">
        <v>742728968636</v>
      </c>
      <c r="I285" s="8" t="s">
        <v>1393</v>
      </c>
      <c r="J285" s="4">
        <v>6</v>
      </c>
      <c r="K285" s="9">
        <v>26.67</v>
      </c>
      <c r="L285" s="9">
        <v>160.02000000000001</v>
      </c>
      <c r="M285" s="4" t="s">
        <v>1394</v>
      </c>
      <c r="N285" s="4" t="s">
        <v>2497</v>
      </c>
      <c r="O285" s="4" t="s">
        <v>2498</v>
      </c>
      <c r="P285" s="4" t="s">
        <v>2556</v>
      </c>
      <c r="Q285" s="4" t="s">
        <v>2645</v>
      </c>
      <c r="R285" s="4"/>
      <c r="S285" s="4"/>
      <c r="T285" s="4" t="str">
        <f>HYPERLINK("http://slimages.macys.com/is/image/MCY/20463691 ")</f>
        <v xml:space="preserve">http://slimages.macys.com/is/image/MCY/20463691 </v>
      </c>
    </row>
    <row r="286" spans="1:20" ht="15" customHeight="1" x14ac:dyDescent="0.25">
      <c r="A286" s="4" t="s">
        <v>2489</v>
      </c>
      <c r="B286" s="2" t="s">
        <v>2487</v>
      </c>
      <c r="C286" s="2" t="s">
        <v>2488</v>
      </c>
      <c r="D286" s="5" t="s">
        <v>2490</v>
      </c>
      <c r="E286" s="4" t="s">
        <v>2491</v>
      </c>
      <c r="F286" s="6">
        <v>14277629</v>
      </c>
      <c r="G286" s="3">
        <v>14277629</v>
      </c>
      <c r="H286" s="7">
        <v>193666744712</v>
      </c>
      <c r="I286" s="8" t="s">
        <v>1395</v>
      </c>
      <c r="J286" s="4">
        <v>1</v>
      </c>
      <c r="K286" s="9">
        <v>15.99</v>
      </c>
      <c r="L286" s="9">
        <v>15.99</v>
      </c>
      <c r="M286" s="4">
        <v>6763</v>
      </c>
      <c r="N286" s="4"/>
      <c r="O286" s="4" t="s">
        <v>2555</v>
      </c>
      <c r="P286" s="4" t="s">
        <v>2666</v>
      </c>
      <c r="Q286" s="4" t="s">
        <v>2775</v>
      </c>
      <c r="R286" s="4"/>
      <c r="S286" s="4"/>
      <c r="T286" s="4" t="str">
        <f>HYPERLINK("http://slimages.macys.com/is/image/MCY/19674914 ")</f>
        <v xml:space="preserve">http://slimages.macys.com/is/image/MCY/19674914 </v>
      </c>
    </row>
    <row r="287" spans="1:20" ht="15" customHeight="1" x14ac:dyDescent="0.25">
      <c r="A287" s="4" t="s">
        <v>2489</v>
      </c>
      <c r="B287" s="2" t="s">
        <v>2487</v>
      </c>
      <c r="C287" s="2" t="s">
        <v>2488</v>
      </c>
      <c r="D287" s="5" t="s">
        <v>2490</v>
      </c>
      <c r="E287" s="4" t="s">
        <v>2491</v>
      </c>
      <c r="F287" s="6">
        <v>14277629</v>
      </c>
      <c r="G287" s="3">
        <v>14277629</v>
      </c>
      <c r="H287" s="7">
        <v>742728837895</v>
      </c>
      <c r="I287" s="8" t="s">
        <v>1396</v>
      </c>
      <c r="J287" s="4">
        <v>1</v>
      </c>
      <c r="K287" s="9">
        <v>22.99</v>
      </c>
      <c r="L287" s="9">
        <v>22.99</v>
      </c>
      <c r="M287" s="4" t="s">
        <v>1397</v>
      </c>
      <c r="N287" s="4" t="s">
        <v>2501</v>
      </c>
      <c r="O287" s="4" t="s">
        <v>2498</v>
      </c>
      <c r="P287" s="4" t="s">
        <v>2499</v>
      </c>
      <c r="Q287" s="4" t="s">
        <v>2752</v>
      </c>
      <c r="R287" s="4"/>
      <c r="S287" s="4"/>
      <c r="T287" s="4" t="str">
        <f>HYPERLINK("http://slimages.macys.com/is/image/MCY/19692347 ")</f>
        <v xml:space="preserve">http://slimages.macys.com/is/image/MCY/19692347 </v>
      </c>
    </row>
    <row r="288" spans="1:20" ht="15" customHeight="1" x14ac:dyDescent="0.25">
      <c r="A288" s="4" t="s">
        <v>2489</v>
      </c>
      <c r="B288" s="2" t="s">
        <v>2487</v>
      </c>
      <c r="C288" s="2" t="s">
        <v>2488</v>
      </c>
      <c r="D288" s="5" t="s">
        <v>2490</v>
      </c>
      <c r="E288" s="4" t="s">
        <v>2491</v>
      </c>
      <c r="F288" s="6">
        <v>14277629</v>
      </c>
      <c r="G288" s="3">
        <v>14277629</v>
      </c>
      <c r="H288" s="7">
        <v>762120085472</v>
      </c>
      <c r="I288" s="8" t="s">
        <v>1398</v>
      </c>
      <c r="J288" s="4">
        <v>1</v>
      </c>
      <c r="K288" s="9">
        <v>7.99</v>
      </c>
      <c r="L288" s="9">
        <v>7.99</v>
      </c>
      <c r="M288" s="4" t="s">
        <v>2929</v>
      </c>
      <c r="N288" s="4"/>
      <c r="O288" s="4" t="s">
        <v>2628</v>
      </c>
      <c r="P288" s="4" t="s">
        <v>2602</v>
      </c>
      <c r="Q288" s="4" t="s">
        <v>2528</v>
      </c>
      <c r="R288" s="4"/>
      <c r="S288" s="4"/>
      <c r="T288" s="4" t="str">
        <f>HYPERLINK("http://slimages.macys.com/is/image/MCY/20691813 ")</f>
        <v xml:space="preserve">http://slimages.macys.com/is/image/MCY/20691813 </v>
      </c>
    </row>
    <row r="289" spans="1:20" ht="15" customHeight="1" x14ac:dyDescent="0.25">
      <c r="A289" s="4" t="s">
        <v>2489</v>
      </c>
      <c r="B289" s="2" t="s">
        <v>2487</v>
      </c>
      <c r="C289" s="2" t="s">
        <v>2488</v>
      </c>
      <c r="D289" s="5" t="s">
        <v>2490</v>
      </c>
      <c r="E289" s="4" t="s">
        <v>2491</v>
      </c>
      <c r="F289" s="6">
        <v>14277629</v>
      </c>
      <c r="G289" s="3">
        <v>14277629</v>
      </c>
      <c r="H289" s="7">
        <v>733003928810</v>
      </c>
      <c r="I289" s="8" t="s">
        <v>3020</v>
      </c>
      <c r="J289" s="4">
        <v>5</v>
      </c>
      <c r="K289" s="9">
        <v>7.99</v>
      </c>
      <c r="L289" s="9">
        <v>39.950000000000003</v>
      </c>
      <c r="M289" s="4" t="s">
        <v>3021</v>
      </c>
      <c r="N289" s="4" t="s">
        <v>2642</v>
      </c>
      <c r="O289" s="4" t="s">
        <v>2629</v>
      </c>
      <c r="P289" s="4" t="s">
        <v>2503</v>
      </c>
      <c r="Q289" s="4" t="s">
        <v>2504</v>
      </c>
      <c r="R289" s="4"/>
      <c r="S289" s="4"/>
      <c r="T289" s="4" t="str">
        <f>HYPERLINK("http://slimages.macys.com/is/image/MCY/19511431 ")</f>
        <v xml:space="preserve">http://slimages.macys.com/is/image/MCY/19511431 </v>
      </c>
    </row>
    <row r="290" spans="1:20" ht="15" customHeight="1" x14ac:dyDescent="0.25">
      <c r="A290" s="4" t="s">
        <v>2489</v>
      </c>
      <c r="B290" s="2" t="s">
        <v>2487</v>
      </c>
      <c r="C290" s="2" t="s">
        <v>2488</v>
      </c>
      <c r="D290" s="5" t="s">
        <v>2490</v>
      </c>
      <c r="E290" s="4" t="s">
        <v>2491</v>
      </c>
      <c r="F290" s="6">
        <v>14277629</v>
      </c>
      <c r="G290" s="3">
        <v>14277629</v>
      </c>
      <c r="H290" s="7">
        <v>733004780288</v>
      </c>
      <c r="I290" s="8" t="s">
        <v>2040</v>
      </c>
      <c r="J290" s="4">
        <v>1</v>
      </c>
      <c r="K290" s="9">
        <v>7.99</v>
      </c>
      <c r="L290" s="9">
        <v>7.99</v>
      </c>
      <c r="M290" s="4" t="s">
        <v>2690</v>
      </c>
      <c r="N290" s="4" t="s">
        <v>2638</v>
      </c>
      <c r="O290" s="4" t="s">
        <v>2653</v>
      </c>
      <c r="P290" s="4" t="s">
        <v>2602</v>
      </c>
      <c r="Q290" s="4" t="s">
        <v>2528</v>
      </c>
      <c r="R290" s="4"/>
      <c r="S290" s="4"/>
      <c r="T290" s="4" t="str">
        <f>HYPERLINK("http://slimages.macys.com/is/image/MCY/20450170 ")</f>
        <v xml:space="preserve">http://slimages.macys.com/is/image/MCY/20450170 </v>
      </c>
    </row>
    <row r="291" spans="1:20" ht="15" customHeight="1" x14ac:dyDescent="0.25">
      <c r="A291" s="4" t="s">
        <v>2489</v>
      </c>
      <c r="B291" s="2" t="s">
        <v>2487</v>
      </c>
      <c r="C291" s="2" t="s">
        <v>2488</v>
      </c>
      <c r="D291" s="5" t="s">
        <v>2490</v>
      </c>
      <c r="E291" s="4" t="s">
        <v>2491</v>
      </c>
      <c r="F291" s="6">
        <v>14277629</v>
      </c>
      <c r="G291" s="3">
        <v>14277629</v>
      </c>
      <c r="H291" s="7">
        <v>733001124986</v>
      </c>
      <c r="I291" s="8" t="s">
        <v>1399</v>
      </c>
      <c r="J291" s="4">
        <v>4</v>
      </c>
      <c r="K291" s="9">
        <v>7.99</v>
      </c>
      <c r="L291" s="9">
        <v>31.96</v>
      </c>
      <c r="M291" s="4" t="s">
        <v>2757</v>
      </c>
      <c r="N291" s="4" t="s">
        <v>2501</v>
      </c>
      <c r="O291" s="4" t="s">
        <v>2629</v>
      </c>
      <c r="P291" s="4" t="s">
        <v>2503</v>
      </c>
      <c r="Q291" s="4" t="s">
        <v>2504</v>
      </c>
      <c r="R291" s="4"/>
      <c r="S291" s="4"/>
      <c r="T291" s="4" t="str">
        <f>HYPERLINK("http://slimages.macys.com/is/image/MCY/14885497 ")</f>
        <v xml:space="preserve">http://slimages.macys.com/is/image/MCY/14885497 </v>
      </c>
    </row>
    <row r="292" spans="1:20" ht="15" customHeight="1" x14ac:dyDescent="0.25">
      <c r="A292" s="4" t="s">
        <v>2489</v>
      </c>
      <c r="B292" s="2" t="s">
        <v>2487</v>
      </c>
      <c r="C292" s="2" t="s">
        <v>2488</v>
      </c>
      <c r="D292" s="5" t="s">
        <v>2490</v>
      </c>
      <c r="E292" s="4" t="s">
        <v>2491</v>
      </c>
      <c r="F292" s="6">
        <v>14277629</v>
      </c>
      <c r="G292" s="3">
        <v>14277629</v>
      </c>
      <c r="H292" s="7">
        <v>733004748523</v>
      </c>
      <c r="I292" s="8" t="s">
        <v>2835</v>
      </c>
      <c r="J292" s="4">
        <v>2</v>
      </c>
      <c r="K292" s="9">
        <v>7.99</v>
      </c>
      <c r="L292" s="9">
        <v>15.98</v>
      </c>
      <c r="M292" s="4" t="s">
        <v>2836</v>
      </c>
      <c r="N292" s="4" t="s">
        <v>2505</v>
      </c>
      <c r="O292" s="4" t="s">
        <v>2629</v>
      </c>
      <c r="P292" s="4" t="s">
        <v>2503</v>
      </c>
      <c r="Q292" s="4" t="s">
        <v>2504</v>
      </c>
      <c r="R292" s="4"/>
      <c r="S292" s="4"/>
      <c r="T292" s="4" t="str">
        <f>HYPERLINK("http://slimages.macys.com/is/image/MCY/19977345 ")</f>
        <v xml:space="preserve">http://slimages.macys.com/is/image/MCY/19977345 </v>
      </c>
    </row>
    <row r="293" spans="1:20" ht="15" customHeight="1" x14ac:dyDescent="0.25">
      <c r="A293" s="4" t="s">
        <v>2489</v>
      </c>
      <c r="B293" s="2" t="s">
        <v>2487</v>
      </c>
      <c r="C293" s="2" t="s">
        <v>2488</v>
      </c>
      <c r="D293" s="5" t="s">
        <v>2490</v>
      </c>
      <c r="E293" s="4" t="s">
        <v>2491</v>
      </c>
      <c r="F293" s="6">
        <v>14277629</v>
      </c>
      <c r="G293" s="3">
        <v>14277629</v>
      </c>
      <c r="H293" s="7">
        <v>762120020244</v>
      </c>
      <c r="I293" s="8" t="s">
        <v>1400</v>
      </c>
      <c r="J293" s="4">
        <v>2</v>
      </c>
      <c r="K293" s="9">
        <v>6.99</v>
      </c>
      <c r="L293" s="9">
        <v>13.98</v>
      </c>
      <c r="M293" s="4" t="s">
        <v>3235</v>
      </c>
      <c r="N293" s="4" t="s">
        <v>2565</v>
      </c>
      <c r="O293" s="4" t="s">
        <v>2559</v>
      </c>
      <c r="P293" s="4" t="s">
        <v>2503</v>
      </c>
      <c r="Q293" s="4" t="s">
        <v>2504</v>
      </c>
      <c r="R293" s="4"/>
      <c r="S293" s="4"/>
      <c r="T293" s="4" t="str">
        <f>HYPERLINK("http://slimages.macys.com/is/image/MCY/20436495 ")</f>
        <v xml:space="preserve">http://slimages.macys.com/is/image/MCY/20436495 </v>
      </c>
    </row>
    <row r="294" spans="1:20" ht="15" customHeight="1" x14ac:dyDescent="0.25">
      <c r="A294" s="4" t="s">
        <v>2489</v>
      </c>
      <c r="B294" s="2" t="s">
        <v>2487</v>
      </c>
      <c r="C294" s="2" t="s">
        <v>2488</v>
      </c>
      <c r="D294" s="5" t="s">
        <v>2490</v>
      </c>
      <c r="E294" s="4" t="s">
        <v>2491</v>
      </c>
      <c r="F294" s="6">
        <v>14277629</v>
      </c>
      <c r="G294" s="3">
        <v>14277629</v>
      </c>
      <c r="H294" s="7">
        <v>733004780158</v>
      </c>
      <c r="I294" s="8" t="s">
        <v>1401</v>
      </c>
      <c r="J294" s="4">
        <v>2</v>
      </c>
      <c r="K294" s="9">
        <v>7.99</v>
      </c>
      <c r="L294" s="9">
        <v>15.98</v>
      </c>
      <c r="M294" s="4" t="s">
        <v>3126</v>
      </c>
      <c r="N294" s="4" t="s">
        <v>2567</v>
      </c>
      <c r="O294" s="4" t="s">
        <v>2628</v>
      </c>
      <c r="P294" s="4" t="s">
        <v>2602</v>
      </c>
      <c r="Q294" s="4" t="s">
        <v>2528</v>
      </c>
      <c r="R294" s="4"/>
      <c r="S294" s="4"/>
      <c r="T294" s="4" t="str">
        <f>HYPERLINK("http://slimages.macys.com/is/image/MCY/20450165 ")</f>
        <v xml:space="preserve">http://slimages.macys.com/is/image/MCY/20450165 </v>
      </c>
    </row>
    <row r="295" spans="1:20" ht="15" customHeight="1" x14ac:dyDescent="0.25">
      <c r="A295" s="4" t="s">
        <v>2489</v>
      </c>
      <c r="B295" s="2" t="s">
        <v>2487</v>
      </c>
      <c r="C295" s="2" t="s">
        <v>2488</v>
      </c>
      <c r="D295" s="5" t="s">
        <v>2490</v>
      </c>
      <c r="E295" s="4" t="s">
        <v>2491</v>
      </c>
      <c r="F295" s="6">
        <v>14277629</v>
      </c>
      <c r="G295" s="3">
        <v>14277629</v>
      </c>
      <c r="H295" s="7">
        <v>733004780202</v>
      </c>
      <c r="I295" s="8" t="s">
        <v>1402</v>
      </c>
      <c r="J295" s="4">
        <v>1</v>
      </c>
      <c r="K295" s="9">
        <v>7.99</v>
      </c>
      <c r="L295" s="9">
        <v>7.99</v>
      </c>
      <c r="M295" s="4" t="s">
        <v>3149</v>
      </c>
      <c r="N295" s="4" t="s">
        <v>2638</v>
      </c>
      <c r="O295" s="4" t="s">
        <v>2629</v>
      </c>
      <c r="P295" s="4" t="s">
        <v>2602</v>
      </c>
      <c r="Q295" s="4" t="s">
        <v>2528</v>
      </c>
      <c r="R295" s="4"/>
      <c r="S295" s="4"/>
      <c r="T295" s="4" t="str">
        <f>HYPERLINK("http://slimages.macys.com/is/image/MCY/20450168 ")</f>
        <v xml:space="preserve">http://slimages.macys.com/is/image/MCY/20450168 </v>
      </c>
    </row>
    <row r="296" spans="1:20" ht="15" customHeight="1" x14ac:dyDescent="0.25">
      <c r="A296" s="4" t="s">
        <v>2489</v>
      </c>
      <c r="B296" s="2" t="s">
        <v>2487</v>
      </c>
      <c r="C296" s="2" t="s">
        <v>2488</v>
      </c>
      <c r="D296" s="5" t="s">
        <v>2490</v>
      </c>
      <c r="E296" s="4" t="s">
        <v>2491</v>
      </c>
      <c r="F296" s="6">
        <v>14277629</v>
      </c>
      <c r="G296" s="3">
        <v>14277629</v>
      </c>
      <c r="H296" s="7">
        <v>762120086554</v>
      </c>
      <c r="I296" s="8" t="s">
        <v>2079</v>
      </c>
      <c r="J296" s="4">
        <v>1</v>
      </c>
      <c r="K296" s="9">
        <v>7.99</v>
      </c>
      <c r="L296" s="9">
        <v>7.99</v>
      </c>
      <c r="M296" s="4" t="s">
        <v>1776</v>
      </c>
      <c r="N296" s="4" t="s">
        <v>2638</v>
      </c>
      <c r="O296" s="4" t="s">
        <v>2653</v>
      </c>
      <c r="P296" s="4" t="s">
        <v>2602</v>
      </c>
      <c r="Q296" s="4" t="s">
        <v>2528</v>
      </c>
      <c r="R296" s="4"/>
      <c r="S296" s="4"/>
      <c r="T296" s="4" t="str">
        <f>HYPERLINK("http://slimages.macys.com/is/image/MCY/20691845 ")</f>
        <v xml:space="preserve">http://slimages.macys.com/is/image/MCY/20691845 </v>
      </c>
    </row>
    <row r="297" spans="1:20" ht="15" customHeight="1" x14ac:dyDescent="0.25">
      <c r="A297" s="4" t="s">
        <v>2489</v>
      </c>
      <c r="B297" s="2" t="s">
        <v>2487</v>
      </c>
      <c r="C297" s="2" t="s">
        <v>2488</v>
      </c>
      <c r="D297" s="5" t="s">
        <v>2490</v>
      </c>
      <c r="E297" s="4" t="s">
        <v>2491</v>
      </c>
      <c r="F297" s="6">
        <v>14277629</v>
      </c>
      <c r="G297" s="3">
        <v>14277629</v>
      </c>
      <c r="H297" s="7">
        <v>762120086394</v>
      </c>
      <c r="I297" s="8" t="s">
        <v>1403</v>
      </c>
      <c r="J297" s="4">
        <v>1</v>
      </c>
      <c r="K297" s="9">
        <v>7.99</v>
      </c>
      <c r="L297" s="9">
        <v>7.99</v>
      </c>
      <c r="M297" s="4" t="s">
        <v>1776</v>
      </c>
      <c r="N297" s="4" t="s">
        <v>2638</v>
      </c>
      <c r="O297" s="4">
        <v>5</v>
      </c>
      <c r="P297" s="4" t="s">
        <v>2602</v>
      </c>
      <c r="Q297" s="4" t="s">
        <v>2528</v>
      </c>
      <c r="R297" s="4"/>
      <c r="S297" s="4"/>
      <c r="T297" s="4" t="str">
        <f>HYPERLINK("http://slimages.macys.com/is/image/MCY/1079693 ")</f>
        <v xml:space="preserve">http://slimages.macys.com/is/image/MCY/1079693 </v>
      </c>
    </row>
    <row r="298" spans="1:20" ht="15" customHeight="1" x14ac:dyDescent="0.25">
      <c r="A298" s="4" t="s">
        <v>2489</v>
      </c>
      <c r="B298" s="2" t="s">
        <v>2487</v>
      </c>
      <c r="C298" s="2" t="s">
        <v>2488</v>
      </c>
      <c r="D298" s="5" t="s">
        <v>2490</v>
      </c>
      <c r="E298" s="4" t="s">
        <v>2491</v>
      </c>
      <c r="F298" s="6">
        <v>14277629</v>
      </c>
      <c r="G298" s="3">
        <v>14277629</v>
      </c>
      <c r="H298" s="7">
        <v>652874292083</v>
      </c>
      <c r="I298" s="8" t="s">
        <v>1404</v>
      </c>
      <c r="J298" s="4">
        <v>1</v>
      </c>
      <c r="K298" s="9">
        <v>45.99</v>
      </c>
      <c r="L298" s="9">
        <v>45.99</v>
      </c>
      <c r="M298" s="4" t="s">
        <v>1405</v>
      </c>
      <c r="N298" s="4" t="s">
        <v>2964</v>
      </c>
      <c r="O298" s="4">
        <v>12</v>
      </c>
      <c r="P298" s="4" t="s">
        <v>2634</v>
      </c>
      <c r="Q298" s="4" t="s">
        <v>2537</v>
      </c>
      <c r="R298" s="4"/>
      <c r="S298" s="4"/>
      <c r="T298" s="4" t="str">
        <f>HYPERLINK("http://slimages.macys.com/is/image/MCY/20091557 ")</f>
        <v xml:space="preserve">http://slimages.macys.com/is/image/MCY/20091557 </v>
      </c>
    </row>
    <row r="299" spans="1:20" ht="15" customHeight="1" x14ac:dyDescent="0.25">
      <c r="A299" s="4" t="s">
        <v>2489</v>
      </c>
      <c r="B299" s="2" t="s">
        <v>2487</v>
      </c>
      <c r="C299" s="2" t="s">
        <v>2488</v>
      </c>
      <c r="D299" s="5" t="s">
        <v>2490</v>
      </c>
      <c r="E299" s="4" t="s">
        <v>2491</v>
      </c>
      <c r="F299" s="6">
        <v>14277629</v>
      </c>
      <c r="G299" s="3">
        <v>14277629</v>
      </c>
      <c r="H299" s="7">
        <v>652874275796</v>
      </c>
      <c r="I299" s="8" t="s">
        <v>1406</v>
      </c>
      <c r="J299" s="4">
        <v>1</v>
      </c>
      <c r="K299" s="9">
        <v>22.99</v>
      </c>
      <c r="L299" s="9">
        <v>22.99</v>
      </c>
      <c r="M299" s="4" t="s">
        <v>1407</v>
      </c>
      <c r="N299" s="4" t="s">
        <v>2535</v>
      </c>
      <c r="O299" s="4" t="s">
        <v>2519</v>
      </c>
      <c r="P299" s="4" t="s">
        <v>2536</v>
      </c>
      <c r="Q299" s="4" t="s">
        <v>2537</v>
      </c>
      <c r="R299" s="4"/>
      <c r="S299" s="4"/>
      <c r="T299" s="4"/>
    </row>
    <row r="300" spans="1:20" ht="15" customHeight="1" x14ac:dyDescent="0.25">
      <c r="A300" s="4" t="s">
        <v>2489</v>
      </c>
      <c r="B300" s="2" t="s">
        <v>2487</v>
      </c>
      <c r="C300" s="2" t="s">
        <v>2488</v>
      </c>
      <c r="D300" s="5" t="s">
        <v>2490</v>
      </c>
      <c r="E300" s="4" t="s">
        <v>2491</v>
      </c>
      <c r="F300" s="6">
        <v>14277629</v>
      </c>
      <c r="G300" s="3">
        <v>14277629</v>
      </c>
      <c r="H300" s="7">
        <v>194257386137</v>
      </c>
      <c r="I300" s="8" t="s">
        <v>1408</v>
      </c>
      <c r="J300" s="4">
        <v>1</v>
      </c>
      <c r="K300" s="9">
        <v>15.99</v>
      </c>
      <c r="L300" s="9">
        <v>15.99</v>
      </c>
      <c r="M300" s="4" t="s">
        <v>1409</v>
      </c>
      <c r="N300" s="4" t="s">
        <v>2571</v>
      </c>
      <c r="O300" s="4">
        <v>4</v>
      </c>
      <c r="P300" s="4" t="s">
        <v>2499</v>
      </c>
      <c r="Q300" s="4" t="s">
        <v>2525</v>
      </c>
      <c r="R300" s="4"/>
      <c r="S300" s="4"/>
      <c r="T300" s="4" t="str">
        <f>HYPERLINK("http://slimages.macys.com/is/image/MCY/19944405 ")</f>
        <v xml:space="preserve">http://slimages.macys.com/is/image/MCY/19944405 </v>
      </c>
    </row>
    <row r="301" spans="1:20" ht="15" customHeight="1" x14ac:dyDescent="0.25">
      <c r="A301" s="4" t="s">
        <v>2489</v>
      </c>
      <c r="B301" s="2" t="s">
        <v>2487</v>
      </c>
      <c r="C301" s="2" t="s">
        <v>2488</v>
      </c>
      <c r="D301" s="5" t="s">
        <v>2490</v>
      </c>
      <c r="E301" s="4" t="s">
        <v>2491</v>
      </c>
      <c r="F301" s="6">
        <v>14277629</v>
      </c>
      <c r="G301" s="3">
        <v>14277629</v>
      </c>
      <c r="H301" s="7">
        <v>196027083871</v>
      </c>
      <c r="I301" s="8" t="s">
        <v>1890</v>
      </c>
      <c r="J301" s="4">
        <v>12</v>
      </c>
      <c r="K301" s="9">
        <v>19.989999999999998</v>
      </c>
      <c r="L301" s="9">
        <v>239.88</v>
      </c>
      <c r="M301" s="4" t="s">
        <v>1850</v>
      </c>
      <c r="N301" s="4" t="s">
        <v>2544</v>
      </c>
      <c r="O301" s="4" t="s">
        <v>2493</v>
      </c>
      <c r="P301" s="4" t="s">
        <v>2562</v>
      </c>
      <c r="Q301" s="4" t="s">
        <v>3119</v>
      </c>
      <c r="R301" s="4"/>
      <c r="S301" s="4"/>
      <c r="T301" s="4" t="str">
        <f>HYPERLINK("http://slimages.macys.com/is/image/MCY/20853848 ")</f>
        <v xml:space="preserve">http://slimages.macys.com/is/image/MCY/20853848 </v>
      </c>
    </row>
    <row r="302" spans="1:20" ht="15" customHeight="1" x14ac:dyDescent="0.25">
      <c r="A302" s="4" t="s">
        <v>2489</v>
      </c>
      <c r="B302" s="2" t="s">
        <v>2487</v>
      </c>
      <c r="C302" s="2" t="s">
        <v>2488</v>
      </c>
      <c r="D302" s="5" t="s">
        <v>2490</v>
      </c>
      <c r="E302" s="4" t="s">
        <v>2491</v>
      </c>
      <c r="F302" s="6">
        <v>14277629</v>
      </c>
      <c r="G302" s="3">
        <v>14277629</v>
      </c>
      <c r="H302" s="7">
        <v>194931204801</v>
      </c>
      <c r="I302" s="8" t="s">
        <v>1866</v>
      </c>
      <c r="J302" s="4">
        <v>2</v>
      </c>
      <c r="K302" s="9">
        <v>19.8</v>
      </c>
      <c r="L302" s="9">
        <v>39.6</v>
      </c>
      <c r="M302" s="4" t="s">
        <v>1867</v>
      </c>
      <c r="N302" s="4" t="s">
        <v>2676</v>
      </c>
      <c r="O302" s="4"/>
      <c r="P302" s="4" t="s">
        <v>2622</v>
      </c>
      <c r="Q302" s="4" t="s">
        <v>2643</v>
      </c>
      <c r="R302" s="4"/>
      <c r="S302" s="4"/>
      <c r="T302" s="4" t="str">
        <f>HYPERLINK("http://slimages.macys.com/is/image/MCY/19992439 ")</f>
        <v xml:space="preserve">http://slimages.macys.com/is/image/MCY/19992439 </v>
      </c>
    </row>
    <row r="303" spans="1:20" ht="15" customHeight="1" x14ac:dyDescent="0.25">
      <c r="A303" s="4" t="s">
        <v>2489</v>
      </c>
      <c r="B303" s="2" t="s">
        <v>2487</v>
      </c>
      <c r="C303" s="2" t="s">
        <v>2488</v>
      </c>
      <c r="D303" s="5" t="s">
        <v>2490</v>
      </c>
      <c r="E303" s="4" t="s">
        <v>2491</v>
      </c>
      <c r="F303" s="6">
        <v>14277629</v>
      </c>
      <c r="G303" s="3">
        <v>14277629</v>
      </c>
      <c r="H303" s="7">
        <v>733003735302</v>
      </c>
      <c r="I303" s="8" t="s">
        <v>2867</v>
      </c>
      <c r="J303" s="4">
        <v>1</v>
      </c>
      <c r="K303" s="9">
        <v>21.99</v>
      </c>
      <c r="L303" s="9">
        <v>21.99</v>
      </c>
      <c r="M303" s="4" t="s">
        <v>1382</v>
      </c>
      <c r="N303" s="4"/>
      <c r="O303" s="4" t="s">
        <v>2498</v>
      </c>
      <c r="P303" s="4" t="s">
        <v>2543</v>
      </c>
      <c r="Q303" s="4" t="s">
        <v>2528</v>
      </c>
      <c r="R303" s="4"/>
      <c r="S303" s="4"/>
      <c r="T303" s="4" t="str">
        <f>HYPERLINK("http://slimages.macys.com/is/image/MCY/19631899 ")</f>
        <v xml:space="preserve">http://slimages.macys.com/is/image/MCY/19631899 </v>
      </c>
    </row>
    <row r="304" spans="1:20" ht="15" customHeight="1" x14ac:dyDescent="0.25">
      <c r="A304" s="4" t="s">
        <v>2489</v>
      </c>
      <c r="B304" s="2" t="s">
        <v>2487</v>
      </c>
      <c r="C304" s="2" t="s">
        <v>2488</v>
      </c>
      <c r="D304" s="5" t="s">
        <v>2490</v>
      </c>
      <c r="E304" s="4" t="s">
        <v>2491</v>
      </c>
      <c r="F304" s="6">
        <v>14277629</v>
      </c>
      <c r="G304" s="3">
        <v>14277629</v>
      </c>
      <c r="H304" s="7">
        <v>733004729263</v>
      </c>
      <c r="I304" s="8" t="s">
        <v>1410</v>
      </c>
      <c r="J304" s="4">
        <v>1</v>
      </c>
      <c r="K304" s="9">
        <v>11.99</v>
      </c>
      <c r="L304" s="9">
        <v>11.99</v>
      </c>
      <c r="M304" s="4" t="s">
        <v>1411</v>
      </c>
      <c r="N304" s="4" t="s">
        <v>2747</v>
      </c>
      <c r="O304" s="4" t="s">
        <v>2498</v>
      </c>
      <c r="P304" s="4" t="s">
        <v>2520</v>
      </c>
      <c r="Q304" s="4" t="s">
        <v>2521</v>
      </c>
      <c r="R304" s="4"/>
      <c r="S304" s="4"/>
      <c r="T304" s="4" t="str">
        <f>HYPERLINK("http://slimages.macys.com/is/image/MCY/20433920 ")</f>
        <v xml:space="preserve">http://slimages.macys.com/is/image/MCY/20433920 </v>
      </c>
    </row>
    <row r="305" spans="1:20" ht="15" customHeight="1" x14ac:dyDescent="0.25">
      <c r="A305" s="4" t="s">
        <v>2489</v>
      </c>
      <c r="B305" s="2" t="s">
        <v>2487</v>
      </c>
      <c r="C305" s="2" t="s">
        <v>2488</v>
      </c>
      <c r="D305" s="5" t="s">
        <v>2490</v>
      </c>
      <c r="E305" s="4" t="s">
        <v>2491</v>
      </c>
      <c r="F305" s="6">
        <v>14277629</v>
      </c>
      <c r="G305" s="3">
        <v>14277629</v>
      </c>
      <c r="H305" s="7">
        <v>195883641959</v>
      </c>
      <c r="I305" s="8" t="s">
        <v>1412</v>
      </c>
      <c r="J305" s="4">
        <v>1</v>
      </c>
      <c r="K305" s="9">
        <v>7.99</v>
      </c>
      <c r="L305" s="9">
        <v>7.99</v>
      </c>
      <c r="M305" s="4" t="s">
        <v>1834</v>
      </c>
      <c r="N305" s="4" t="s">
        <v>2505</v>
      </c>
      <c r="O305" s="4">
        <v>2</v>
      </c>
      <c r="P305" s="4" t="s">
        <v>2506</v>
      </c>
      <c r="Q305" s="4" t="s">
        <v>2527</v>
      </c>
      <c r="R305" s="4"/>
      <c r="S305" s="4"/>
      <c r="T305" s="4" t="str">
        <f>HYPERLINK("http://slimages.macys.com/is/image/MCY/20726204 ")</f>
        <v xml:space="preserve">http://slimages.macys.com/is/image/MCY/20726204 </v>
      </c>
    </row>
    <row r="306" spans="1:20" ht="15" customHeight="1" x14ac:dyDescent="0.25">
      <c r="A306" s="4" t="s">
        <v>2489</v>
      </c>
      <c r="B306" s="2" t="s">
        <v>2487</v>
      </c>
      <c r="C306" s="2" t="s">
        <v>2488</v>
      </c>
      <c r="D306" s="5" t="s">
        <v>2490</v>
      </c>
      <c r="E306" s="4" t="s">
        <v>2491</v>
      </c>
      <c r="F306" s="6">
        <v>14277629</v>
      </c>
      <c r="G306" s="3">
        <v>14277629</v>
      </c>
      <c r="H306" s="7">
        <v>732999376148</v>
      </c>
      <c r="I306" s="8" t="s">
        <v>1413</v>
      </c>
      <c r="J306" s="4">
        <v>1</v>
      </c>
      <c r="K306" s="9">
        <v>7.99</v>
      </c>
      <c r="L306" s="9">
        <v>7.99</v>
      </c>
      <c r="M306" s="4" t="s">
        <v>1414</v>
      </c>
      <c r="N306" s="4" t="s">
        <v>2523</v>
      </c>
      <c r="O306" s="4" t="s">
        <v>2650</v>
      </c>
      <c r="P306" s="4" t="s">
        <v>2520</v>
      </c>
      <c r="Q306" s="4" t="s">
        <v>2528</v>
      </c>
      <c r="R306" s="4"/>
      <c r="S306" s="4"/>
      <c r="T306" s="4" t="str">
        <f>HYPERLINK("http://slimages.macys.com/is/image/MCY/17629662 ")</f>
        <v xml:space="preserve">http://slimages.macys.com/is/image/MCY/17629662 </v>
      </c>
    </row>
    <row r="307" spans="1:20" ht="15" customHeight="1" x14ac:dyDescent="0.25">
      <c r="A307" s="4" t="s">
        <v>2489</v>
      </c>
      <c r="B307" s="2" t="s">
        <v>2487</v>
      </c>
      <c r="C307" s="2" t="s">
        <v>2488</v>
      </c>
      <c r="D307" s="5" t="s">
        <v>2490</v>
      </c>
      <c r="E307" s="4" t="s">
        <v>2491</v>
      </c>
      <c r="F307" s="6">
        <v>14277629</v>
      </c>
      <c r="G307" s="3">
        <v>14277629</v>
      </c>
      <c r="H307" s="7">
        <v>48283004193</v>
      </c>
      <c r="I307" s="8" t="s">
        <v>1415</v>
      </c>
      <c r="J307" s="4">
        <v>1</v>
      </c>
      <c r="K307" s="9">
        <v>12.28</v>
      </c>
      <c r="L307" s="9">
        <v>12.28</v>
      </c>
      <c r="M307" s="4" t="s">
        <v>1416</v>
      </c>
      <c r="N307" s="4" t="s">
        <v>2676</v>
      </c>
      <c r="O307" s="4" t="s">
        <v>2498</v>
      </c>
      <c r="P307" s="4" t="s">
        <v>2622</v>
      </c>
      <c r="Q307" s="4" t="s">
        <v>2623</v>
      </c>
      <c r="R307" s="4" t="s">
        <v>2552</v>
      </c>
      <c r="S307" s="4" t="s">
        <v>2624</v>
      </c>
      <c r="T307" s="4" t="str">
        <f>HYPERLINK("http://slimages.macys.com/is/image/MCY/3616081 ")</f>
        <v xml:space="preserve">http://slimages.macys.com/is/image/MCY/3616081 </v>
      </c>
    </row>
    <row r="308" spans="1:20" ht="15" customHeight="1" x14ac:dyDescent="0.25">
      <c r="A308" s="4" t="s">
        <v>2489</v>
      </c>
      <c r="B308" s="2" t="s">
        <v>2487</v>
      </c>
      <c r="C308" s="2" t="s">
        <v>2488</v>
      </c>
      <c r="D308" s="5" t="s">
        <v>2490</v>
      </c>
      <c r="E308" s="4" t="s">
        <v>2491</v>
      </c>
      <c r="F308" s="6">
        <v>14277629</v>
      </c>
      <c r="G308" s="3">
        <v>14277629</v>
      </c>
      <c r="H308" s="7">
        <v>194753885981</v>
      </c>
      <c r="I308" s="8" t="s">
        <v>1417</v>
      </c>
      <c r="J308" s="4">
        <v>1</v>
      </c>
      <c r="K308" s="9">
        <v>13.99</v>
      </c>
      <c r="L308" s="9">
        <v>13.99</v>
      </c>
      <c r="M308" s="4" t="s">
        <v>1418</v>
      </c>
      <c r="N308" s="4" t="s">
        <v>2544</v>
      </c>
      <c r="O308" s="4"/>
      <c r="P308" s="4" t="s">
        <v>2740</v>
      </c>
      <c r="Q308" s="4" t="s">
        <v>2656</v>
      </c>
      <c r="R308" s="4"/>
      <c r="S308" s="4"/>
      <c r="T308" s="4" t="str">
        <f>HYPERLINK("http://slimages.macys.com/is/image/MCY/19848764 ")</f>
        <v xml:space="preserve">http://slimages.macys.com/is/image/MCY/19848764 </v>
      </c>
    </row>
    <row r="309" spans="1:20" ht="15" customHeight="1" x14ac:dyDescent="0.25">
      <c r="A309" s="4" t="s">
        <v>2489</v>
      </c>
      <c r="B309" s="2" t="s">
        <v>2487</v>
      </c>
      <c r="C309" s="2" t="s">
        <v>2488</v>
      </c>
      <c r="D309" s="5" t="s">
        <v>2490</v>
      </c>
      <c r="E309" s="4" t="s">
        <v>2491</v>
      </c>
      <c r="F309" s="6">
        <v>14277629</v>
      </c>
      <c r="G309" s="3">
        <v>14277629</v>
      </c>
      <c r="H309" s="7">
        <v>194931206218</v>
      </c>
      <c r="I309" s="8" t="s">
        <v>1419</v>
      </c>
      <c r="J309" s="4">
        <v>1</v>
      </c>
      <c r="K309" s="9">
        <v>27.24</v>
      </c>
      <c r="L309" s="9">
        <v>27.24</v>
      </c>
      <c r="M309" s="4" t="s">
        <v>1420</v>
      </c>
      <c r="N309" s="4" t="s">
        <v>2762</v>
      </c>
      <c r="O309" s="4" t="s">
        <v>2861</v>
      </c>
      <c r="P309" s="4" t="s">
        <v>2655</v>
      </c>
      <c r="Q309" s="4" t="s">
        <v>2643</v>
      </c>
      <c r="R309" s="4"/>
      <c r="S309" s="4"/>
      <c r="T309" s="4" t="str">
        <f>HYPERLINK("http://slimages.macys.com/is/image/MCY/20491783 ")</f>
        <v xml:space="preserve">http://slimages.macys.com/is/image/MCY/20491783 </v>
      </c>
    </row>
    <row r="310" spans="1:20" ht="15" customHeight="1" x14ac:dyDescent="0.25">
      <c r="A310" s="4" t="s">
        <v>2489</v>
      </c>
      <c r="B310" s="2" t="s">
        <v>2487</v>
      </c>
      <c r="C310" s="2" t="s">
        <v>2488</v>
      </c>
      <c r="D310" s="5" t="s">
        <v>2490</v>
      </c>
      <c r="E310" s="4" t="s">
        <v>2491</v>
      </c>
      <c r="F310" s="6">
        <v>14277629</v>
      </c>
      <c r="G310" s="3">
        <v>14277629</v>
      </c>
      <c r="H310" s="7">
        <v>733004297809</v>
      </c>
      <c r="I310" s="8" t="s">
        <v>1421</v>
      </c>
      <c r="J310" s="4">
        <v>2</v>
      </c>
      <c r="K310" s="9">
        <v>27.99</v>
      </c>
      <c r="L310" s="9">
        <v>55.98</v>
      </c>
      <c r="M310" s="4" t="s">
        <v>2949</v>
      </c>
      <c r="N310" s="4" t="s">
        <v>2561</v>
      </c>
      <c r="O310" s="4" t="s">
        <v>2498</v>
      </c>
      <c r="P310" s="4" t="s">
        <v>2515</v>
      </c>
      <c r="Q310" s="4" t="s">
        <v>2672</v>
      </c>
      <c r="R310" s="4"/>
      <c r="S310" s="4"/>
      <c r="T310" s="4" t="str">
        <f>HYPERLINK("http://slimages.macys.com/is/image/MCY/20143278 ")</f>
        <v xml:space="preserve">http://slimages.macys.com/is/image/MCY/20143278 </v>
      </c>
    </row>
    <row r="311" spans="1:20" ht="15" customHeight="1" x14ac:dyDescent="0.25">
      <c r="A311" s="4" t="s">
        <v>2489</v>
      </c>
      <c r="B311" s="2" t="s">
        <v>2487</v>
      </c>
      <c r="C311" s="2" t="s">
        <v>2488</v>
      </c>
      <c r="D311" s="5" t="s">
        <v>2490</v>
      </c>
      <c r="E311" s="4" t="s">
        <v>2491</v>
      </c>
      <c r="F311" s="6">
        <v>14277629</v>
      </c>
      <c r="G311" s="3">
        <v>14277629</v>
      </c>
      <c r="H311" s="7">
        <v>733004031496</v>
      </c>
      <c r="I311" s="8" t="s">
        <v>1422</v>
      </c>
      <c r="J311" s="4">
        <v>1</v>
      </c>
      <c r="K311" s="9">
        <v>19.989999999999998</v>
      </c>
      <c r="L311" s="9">
        <v>19.989999999999998</v>
      </c>
      <c r="M311" s="4" t="s">
        <v>1423</v>
      </c>
      <c r="N311" s="4"/>
      <c r="O311" s="4" t="s">
        <v>2629</v>
      </c>
      <c r="P311" s="4" t="s">
        <v>2602</v>
      </c>
      <c r="Q311" s="4" t="s">
        <v>2528</v>
      </c>
      <c r="R311" s="4"/>
      <c r="S311" s="4"/>
      <c r="T311" s="4" t="str">
        <f>HYPERLINK("http://slimages.macys.com/is/image/MCY/19943792 ")</f>
        <v xml:space="preserve">http://slimages.macys.com/is/image/MCY/19943792 </v>
      </c>
    </row>
    <row r="312" spans="1:20" ht="15" customHeight="1" x14ac:dyDescent="0.25">
      <c r="A312" s="4" t="s">
        <v>2489</v>
      </c>
      <c r="B312" s="2" t="s">
        <v>2487</v>
      </c>
      <c r="C312" s="2" t="s">
        <v>2488</v>
      </c>
      <c r="D312" s="5" t="s">
        <v>2490</v>
      </c>
      <c r="E312" s="4" t="s">
        <v>2491</v>
      </c>
      <c r="F312" s="6">
        <v>14277629</v>
      </c>
      <c r="G312" s="3">
        <v>14277629</v>
      </c>
      <c r="H312" s="7">
        <v>194133547676</v>
      </c>
      <c r="I312" s="8" t="s">
        <v>1424</v>
      </c>
      <c r="J312" s="4">
        <v>1</v>
      </c>
      <c r="K312" s="9">
        <v>17.29</v>
      </c>
      <c r="L312" s="9">
        <v>17.29</v>
      </c>
      <c r="M312" s="4" t="s">
        <v>1790</v>
      </c>
      <c r="N312" s="4"/>
      <c r="O312" s="4" t="s">
        <v>2607</v>
      </c>
      <c r="P312" s="4" t="s">
        <v>2494</v>
      </c>
      <c r="Q312" s="4" t="s">
        <v>2495</v>
      </c>
      <c r="R312" s="4"/>
      <c r="S312" s="4"/>
      <c r="T312" s="4" t="str">
        <f>HYPERLINK("http://slimages.macys.com/is/image/MCY/19917111 ")</f>
        <v xml:space="preserve">http://slimages.macys.com/is/image/MCY/19917111 </v>
      </c>
    </row>
    <row r="313" spans="1:20" ht="15" customHeight="1" x14ac:dyDescent="0.25">
      <c r="A313" s="4" t="s">
        <v>2489</v>
      </c>
      <c r="B313" s="2" t="s">
        <v>2487</v>
      </c>
      <c r="C313" s="2" t="s">
        <v>2488</v>
      </c>
      <c r="D313" s="5" t="s">
        <v>2490</v>
      </c>
      <c r="E313" s="4" t="s">
        <v>2491</v>
      </c>
      <c r="F313" s="6">
        <v>14277629</v>
      </c>
      <c r="G313" s="3">
        <v>14277629</v>
      </c>
      <c r="H313" s="7">
        <v>733004752094</v>
      </c>
      <c r="I313" s="8" t="s">
        <v>1425</v>
      </c>
      <c r="J313" s="4">
        <v>2</v>
      </c>
      <c r="K313" s="9">
        <v>13.99</v>
      </c>
      <c r="L313" s="9">
        <v>27.98</v>
      </c>
      <c r="M313" s="4" t="s">
        <v>1211</v>
      </c>
      <c r="N313" s="4" t="s">
        <v>2567</v>
      </c>
      <c r="O313" s="4" t="s">
        <v>2519</v>
      </c>
      <c r="P313" s="4" t="s">
        <v>2543</v>
      </c>
      <c r="Q313" s="4" t="s">
        <v>2528</v>
      </c>
      <c r="R313" s="4"/>
      <c r="S313" s="4"/>
      <c r="T313" s="4" t="str">
        <f>HYPERLINK("http://slimages.macys.com/is/image/MCY/20440817 ")</f>
        <v xml:space="preserve">http://slimages.macys.com/is/image/MCY/20440817 </v>
      </c>
    </row>
    <row r="314" spans="1:20" ht="15" customHeight="1" x14ac:dyDescent="0.25">
      <c r="A314" s="4" t="s">
        <v>2489</v>
      </c>
      <c r="B314" s="2" t="s">
        <v>2487</v>
      </c>
      <c r="C314" s="2" t="s">
        <v>2488</v>
      </c>
      <c r="D314" s="5" t="s">
        <v>2490</v>
      </c>
      <c r="E314" s="4" t="s">
        <v>2491</v>
      </c>
      <c r="F314" s="6">
        <v>14277629</v>
      </c>
      <c r="G314" s="3">
        <v>14277629</v>
      </c>
      <c r="H314" s="7">
        <v>762120113274</v>
      </c>
      <c r="I314" s="8" t="s">
        <v>2659</v>
      </c>
      <c r="J314" s="4">
        <v>2</v>
      </c>
      <c r="K314" s="9">
        <v>6.99</v>
      </c>
      <c r="L314" s="9">
        <v>13.98</v>
      </c>
      <c r="M314" s="4" t="s">
        <v>2660</v>
      </c>
      <c r="N314" s="4" t="s">
        <v>2598</v>
      </c>
      <c r="O314" s="4" t="s">
        <v>2566</v>
      </c>
      <c r="P314" s="4" t="s">
        <v>2503</v>
      </c>
      <c r="Q314" s="4" t="s">
        <v>2504</v>
      </c>
      <c r="R314" s="4"/>
      <c r="S314" s="4"/>
      <c r="T314" s="4" t="str">
        <f>HYPERLINK("http://slimages.macys.com/is/image/MCY/19977390 ")</f>
        <v xml:space="preserve">http://slimages.macys.com/is/image/MCY/19977390 </v>
      </c>
    </row>
    <row r="315" spans="1:20" ht="15" customHeight="1" x14ac:dyDescent="0.25">
      <c r="A315" s="4" t="s">
        <v>2489</v>
      </c>
      <c r="B315" s="2" t="s">
        <v>2487</v>
      </c>
      <c r="C315" s="2" t="s">
        <v>2488</v>
      </c>
      <c r="D315" s="5" t="s">
        <v>2490</v>
      </c>
      <c r="E315" s="4" t="s">
        <v>2491</v>
      </c>
      <c r="F315" s="6">
        <v>14277629</v>
      </c>
      <c r="G315" s="3">
        <v>14277629</v>
      </c>
      <c r="H315" s="7">
        <v>733004780561</v>
      </c>
      <c r="I315" s="8" t="s">
        <v>1953</v>
      </c>
      <c r="J315" s="4">
        <v>1</v>
      </c>
      <c r="K315" s="9">
        <v>11.99</v>
      </c>
      <c r="L315" s="9">
        <v>11.99</v>
      </c>
      <c r="M315" s="4" t="s">
        <v>3083</v>
      </c>
      <c r="N315" s="4" t="s">
        <v>2501</v>
      </c>
      <c r="O315" s="4">
        <v>6</v>
      </c>
      <c r="P315" s="4" t="s">
        <v>2602</v>
      </c>
      <c r="Q315" s="4" t="s">
        <v>2528</v>
      </c>
      <c r="R315" s="4"/>
      <c r="S315" s="4"/>
      <c r="T315" s="4" t="str">
        <f>HYPERLINK("http://slimages.macys.com/is/image/MCY/1110249 ")</f>
        <v xml:space="preserve">http://slimages.macys.com/is/image/MCY/1110249 </v>
      </c>
    </row>
    <row r="316" spans="1:20" ht="15" customHeight="1" x14ac:dyDescent="0.25">
      <c r="A316" s="4" t="s">
        <v>2489</v>
      </c>
      <c r="B316" s="2" t="s">
        <v>2487</v>
      </c>
      <c r="C316" s="2" t="s">
        <v>2488</v>
      </c>
      <c r="D316" s="5" t="s">
        <v>2490</v>
      </c>
      <c r="E316" s="4" t="s">
        <v>2491</v>
      </c>
      <c r="F316" s="6">
        <v>14277629</v>
      </c>
      <c r="G316" s="3">
        <v>14277629</v>
      </c>
      <c r="H316" s="7">
        <v>733004780691</v>
      </c>
      <c r="I316" s="8" t="s">
        <v>3246</v>
      </c>
      <c r="J316" s="4">
        <v>1</v>
      </c>
      <c r="K316" s="9">
        <v>11.99</v>
      </c>
      <c r="L316" s="9">
        <v>11.99</v>
      </c>
      <c r="M316" s="4" t="s">
        <v>3083</v>
      </c>
      <c r="N316" s="4" t="s">
        <v>2638</v>
      </c>
      <c r="O316" s="4" t="s">
        <v>2650</v>
      </c>
      <c r="P316" s="4" t="s">
        <v>2602</v>
      </c>
      <c r="Q316" s="4" t="s">
        <v>2528</v>
      </c>
      <c r="R316" s="4"/>
      <c r="S316" s="4"/>
      <c r="T316" s="4" t="str">
        <f>HYPERLINK("http://slimages.macys.com/is/image/MCY/20450174 ")</f>
        <v xml:space="preserve">http://slimages.macys.com/is/image/MCY/20450174 </v>
      </c>
    </row>
    <row r="317" spans="1:20" ht="15" customHeight="1" x14ac:dyDescent="0.25">
      <c r="A317" s="4" t="s">
        <v>2489</v>
      </c>
      <c r="B317" s="2" t="s">
        <v>2487</v>
      </c>
      <c r="C317" s="2" t="s">
        <v>2488</v>
      </c>
      <c r="D317" s="5" t="s">
        <v>2490</v>
      </c>
      <c r="E317" s="4" t="s">
        <v>2491</v>
      </c>
      <c r="F317" s="6">
        <v>14277629</v>
      </c>
      <c r="G317" s="3">
        <v>14277629</v>
      </c>
      <c r="H317" s="7">
        <v>733004745775</v>
      </c>
      <c r="I317" s="8" t="s">
        <v>1976</v>
      </c>
      <c r="J317" s="4">
        <v>1</v>
      </c>
      <c r="K317" s="9">
        <v>6.99</v>
      </c>
      <c r="L317" s="9">
        <v>6.99</v>
      </c>
      <c r="M317" s="4" t="s">
        <v>2852</v>
      </c>
      <c r="N317" s="4" t="s">
        <v>2565</v>
      </c>
      <c r="O317" s="4" t="s">
        <v>2559</v>
      </c>
      <c r="P317" s="4" t="s">
        <v>2503</v>
      </c>
      <c r="Q317" s="4" t="s">
        <v>2504</v>
      </c>
      <c r="R317" s="4"/>
      <c r="S317" s="4"/>
      <c r="T317" s="4" t="str">
        <f>HYPERLINK("http://slimages.macys.com/is/image/MCY/19977364 ")</f>
        <v xml:space="preserve">http://slimages.macys.com/is/image/MCY/19977364 </v>
      </c>
    </row>
    <row r="318" spans="1:20" ht="15" customHeight="1" x14ac:dyDescent="0.25">
      <c r="A318" s="4" t="s">
        <v>2489</v>
      </c>
      <c r="B318" s="2" t="s">
        <v>2487</v>
      </c>
      <c r="C318" s="2" t="s">
        <v>2488</v>
      </c>
      <c r="D318" s="5" t="s">
        <v>2490</v>
      </c>
      <c r="E318" s="4" t="s">
        <v>2491</v>
      </c>
      <c r="F318" s="6">
        <v>14277629</v>
      </c>
      <c r="G318" s="3">
        <v>14277629</v>
      </c>
      <c r="H318" s="7">
        <v>733004745812</v>
      </c>
      <c r="I318" s="8" t="s">
        <v>2851</v>
      </c>
      <c r="J318" s="4">
        <v>1</v>
      </c>
      <c r="K318" s="9">
        <v>6.99</v>
      </c>
      <c r="L318" s="9">
        <v>6.99</v>
      </c>
      <c r="M318" s="4" t="s">
        <v>2852</v>
      </c>
      <c r="N318" s="4" t="s">
        <v>2565</v>
      </c>
      <c r="O318" s="4" t="s">
        <v>2502</v>
      </c>
      <c r="P318" s="4" t="s">
        <v>2503</v>
      </c>
      <c r="Q318" s="4" t="s">
        <v>2504</v>
      </c>
      <c r="R318" s="4"/>
      <c r="S318" s="4"/>
      <c r="T318" s="4" t="str">
        <f>HYPERLINK("http://slimages.macys.com/is/image/MCY/19977364 ")</f>
        <v xml:space="preserve">http://slimages.macys.com/is/image/MCY/19977364 </v>
      </c>
    </row>
    <row r="319" spans="1:20" ht="15" customHeight="1" x14ac:dyDescent="0.25">
      <c r="A319" s="4" t="s">
        <v>2489</v>
      </c>
      <c r="B319" s="2" t="s">
        <v>2487</v>
      </c>
      <c r="C319" s="2" t="s">
        <v>2488</v>
      </c>
      <c r="D319" s="5" t="s">
        <v>2490</v>
      </c>
      <c r="E319" s="4" t="s">
        <v>2491</v>
      </c>
      <c r="F319" s="6">
        <v>14277629</v>
      </c>
      <c r="G319" s="3">
        <v>14277629</v>
      </c>
      <c r="H319" s="7">
        <v>194870543368</v>
      </c>
      <c r="I319" s="8" t="s">
        <v>1426</v>
      </c>
      <c r="J319" s="4">
        <v>2</v>
      </c>
      <c r="K319" s="9">
        <v>18.989999999999998</v>
      </c>
      <c r="L319" s="9">
        <v>37.979999999999997</v>
      </c>
      <c r="M319" s="4" t="s">
        <v>2618</v>
      </c>
      <c r="N319" s="4" t="s">
        <v>2497</v>
      </c>
      <c r="O319" s="4" t="s">
        <v>2705</v>
      </c>
      <c r="P319" s="4" t="s">
        <v>2619</v>
      </c>
      <c r="Q319" s="4" t="s">
        <v>2620</v>
      </c>
      <c r="R319" s="4"/>
      <c r="S319" s="4"/>
      <c r="T319" s="4" t="str">
        <f>HYPERLINK("http://slimages.macys.com/is/image/MCY/19455748 ")</f>
        <v xml:space="preserve">http://slimages.macys.com/is/image/MCY/19455748 </v>
      </c>
    </row>
    <row r="320" spans="1:20" ht="15" customHeight="1" x14ac:dyDescent="0.25">
      <c r="A320" s="4" t="s">
        <v>2489</v>
      </c>
      <c r="B320" s="2" t="s">
        <v>2487</v>
      </c>
      <c r="C320" s="2" t="s">
        <v>2488</v>
      </c>
      <c r="D320" s="5" t="s">
        <v>2490</v>
      </c>
      <c r="E320" s="4" t="s">
        <v>2491</v>
      </c>
      <c r="F320" s="6">
        <v>14277629</v>
      </c>
      <c r="G320" s="3">
        <v>14277629</v>
      </c>
      <c r="H320" s="7">
        <v>193666722833</v>
      </c>
      <c r="I320" s="8" t="s">
        <v>1427</v>
      </c>
      <c r="J320" s="4">
        <v>2</v>
      </c>
      <c r="K320" s="9">
        <v>14.99</v>
      </c>
      <c r="L320" s="9">
        <v>29.98</v>
      </c>
      <c r="M320" s="4" t="s">
        <v>3043</v>
      </c>
      <c r="N320" s="4" t="s">
        <v>2548</v>
      </c>
      <c r="O320" s="4" t="s">
        <v>2555</v>
      </c>
      <c r="P320" s="4" t="s">
        <v>2666</v>
      </c>
      <c r="Q320" s="4" t="s">
        <v>2775</v>
      </c>
      <c r="R320" s="4"/>
      <c r="S320" s="4"/>
      <c r="T320" s="4" t="str">
        <f>HYPERLINK("http://slimages.macys.com/is/image/MCY/18619090 ")</f>
        <v xml:space="preserve">http://slimages.macys.com/is/image/MCY/18619090 </v>
      </c>
    </row>
    <row r="321" spans="1:20" ht="15" customHeight="1" x14ac:dyDescent="0.25">
      <c r="A321" s="4" t="s">
        <v>2489</v>
      </c>
      <c r="B321" s="2" t="s">
        <v>2487</v>
      </c>
      <c r="C321" s="2" t="s">
        <v>2488</v>
      </c>
      <c r="D321" s="5" t="s">
        <v>2490</v>
      </c>
      <c r="E321" s="4" t="s">
        <v>2491</v>
      </c>
      <c r="F321" s="6">
        <v>14277629</v>
      </c>
      <c r="G321" s="3">
        <v>14277629</v>
      </c>
      <c r="H321" s="7">
        <v>193666794120</v>
      </c>
      <c r="I321" s="8" t="s">
        <v>1215</v>
      </c>
      <c r="J321" s="4">
        <v>1</v>
      </c>
      <c r="K321" s="9">
        <v>11.99</v>
      </c>
      <c r="L321" s="9">
        <v>11.99</v>
      </c>
      <c r="M321" s="4">
        <v>7122</v>
      </c>
      <c r="N321" s="4" t="s">
        <v>2665</v>
      </c>
      <c r="O321" s="4" t="s">
        <v>2519</v>
      </c>
      <c r="P321" s="4" t="s">
        <v>2666</v>
      </c>
      <c r="Q321" s="4" t="s">
        <v>2775</v>
      </c>
      <c r="R321" s="4"/>
      <c r="S321" s="4"/>
      <c r="T321" s="4"/>
    </row>
    <row r="322" spans="1:20" ht="15" customHeight="1" x14ac:dyDescent="0.25">
      <c r="A322" s="4" t="s">
        <v>2489</v>
      </c>
      <c r="B322" s="2" t="s">
        <v>2487</v>
      </c>
      <c r="C322" s="2" t="s">
        <v>2488</v>
      </c>
      <c r="D322" s="5" t="s">
        <v>2490</v>
      </c>
      <c r="E322" s="4" t="s">
        <v>2491</v>
      </c>
      <c r="F322" s="6">
        <v>14277629</v>
      </c>
      <c r="G322" s="3">
        <v>14277629</v>
      </c>
      <c r="H322" s="7">
        <v>733004780035</v>
      </c>
      <c r="I322" s="8" t="s">
        <v>1960</v>
      </c>
      <c r="J322" s="4">
        <v>1</v>
      </c>
      <c r="K322" s="9">
        <v>7.99</v>
      </c>
      <c r="L322" s="9">
        <v>7.99</v>
      </c>
      <c r="M322" s="4" t="s">
        <v>3128</v>
      </c>
      <c r="N322" s="4" t="s">
        <v>2632</v>
      </c>
      <c r="O322" s="4" t="s">
        <v>2628</v>
      </c>
      <c r="P322" s="4" t="s">
        <v>2602</v>
      </c>
      <c r="Q322" s="4" t="s">
        <v>2528</v>
      </c>
      <c r="R322" s="4"/>
      <c r="S322" s="4"/>
      <c r="T322" s="4" t="str">
        <f>HYPERLINK("http://slimages.macys.com/is/image/MCY/20450161 ")</f>
        <v xml:space="preserve">http://slimages.macys.com/is/image/MCY/20450161 </v>
      </c>
    </row>
    <row r="323" spans="1:20" ht="15" customHeight="1" x14ac:dyDescent="0.25">
      <c r="A323" s="4" t="s">
        <v>2489</v>
      </c>
      <c r="B323" s="2" t="s">
        <v>2487</v>
      </c>
      <c r="C323" s="2" t="s">
        <v>2488</v>
      </c>
      <c r="D323" s="5" t="s">
        <v>2490</v>
      </c>
      <c r="E323" s="4" t="s">
        <v>2491</v>
      </c>
      <c r="F323" s="6">
        <v>14277629</v>
      </c>
      <c r="G323" s="3">
        <v>14277629</v>
      </c>
      <c r="H323" s="7">
        <v>194257546531</v>
      </c>
      <c r="I323" s="8" t="s">
        <v>3010</v>
      </c>
      <c r="J323" s="4">
        <v>1</v>
      </c>
      <c r="K323" s="9">
        <v>8.99</v>
      </c>
      <c r="L323" s="9">
        <v>8.99</v>
      </c>
      <c r="M323" s="4" t="s">
        <v>3011</v>
      </c>
      <c r="N323" s="4" t="s">
        <v>2964</v>
      </c>
      <c r="O323" s="4" t="s">
        <v>2671</v>
      </c>
      <c r="P323" s="4" t="s">
        <v>2619</v>
      </c>
      <c r="Q323" s="4" t="s">
        <v>2500</v>
      </c>
      <c r="R323" s="4"/>
      <c r="S323" s="4"/>
      <c r="T323" s="4" t="str">
        <f>HYPERLINK("http://slimages.macys.com/is/image/MCY/19835159 ")</f>
        <v xml:space="preserve">http://slimages.macys.com/is/image/MCY/19835159 </v>
      </c>
    </row>
    <row r="324" spans="1:20" ht="15" customHeight="1" x14ac:dyDescent="0.25">
      <c r="A324" s="4" t="s">
        <v>2489</v>
      </c>
      <c r="B324" s="2" t="s">
        <v>2487</v>
      </c>
      <c r="C324" s="2" t="s">
        <v>2488</v>
      </c>
      <c r="D324" s="5" t="s">
        <v>2490</v>
      </c>
      <c r="E324" s="4" t="s">
        <v>2491</v>
      </c>
      <c r="F324" s="6">
        <v>14277629</v>
      </c>
      <c r="G324" s="3">
        <v>14277629</v>
      </c>
      <c r="H324" s="7">
        <v>46094949306</v>
      </c>
      <c r="I324" s="8" t="s">
        <v>1428</v>
      </c>
      <c r="J324" s="4">
        <v>2</v>
      </c>
      <c r="K324" s="9">
        <v>4.99</v>
      </c>
      <c r="L324" s="9">
        <v>9.98</v>
      </c>
      <c r="M324" s="4">
        <v>4114</v>
      </c>
      <c r="N324" s="4" t="s">
        <v>2523</v>
      </c>
      <c r="O324" s="4" t="s">
        <v>2555</v>
      </c>
      <c r="P324" s="4" t="s">
        <v>2666</v>
      </c>
      <c r="Q324" s="4" t="s">
        <v>2667</v>
      </c>
      <c r="R324" s="4" t="s">
        <v>2552</v>
      </c>
      <c r="S324" s="4" t="s">
        <v>3157</v>
      </c>
      <c r="T324" s="4" t="str">
        <f>HYPERLINK("http://slimages.macys.com/is/image/MCY/13050244 ")</f>
        <v xml:space="preserve">http://slimages.macys.com/is/image/MCY/13050244 </v>
      </c>
    </row>
    <row r="325" spans="1:20" ht="15" customHeight="1" x14ac:dyDescent="0.25">
      <c r="A325" s="4" t="s">
        <v>2489</v>
      </c>
      <c r="B325" s="2" t="s">
        <v>2487</v>
      </c>
      <c r="C325" s="2" t="s">
        <v>2488</v>
      </c>
      <c r="D325" s="5" t="s">
        <v>2490</v>
      </c>
      <c r="E325" s="4" t="s">
        <v>2491</v>
      </c>
      <c r="F325" s="6">
        <v>14277629</v>
      </c>
      <c r="G325" s="3">
        <v>14277629</v>
      </c>
      <c r="H325" s="7">
        <v>762120162340</v>
      </c>
      <c r="I325" s="8" t="s">
        <v>3415</v>
      </c>
      <c r="J325" s="4">
        <v>1</v>
      </c>
      <c r="K325" s="9">
        <v>11.99</v>
      </c>
      <c r="L325" s="9">
        <v>11.99</v>
      </c>
      <c r="M325" s="4" t="s">
        <v>2631</v>
      </c>
      <c r="N325" s="4" t="s">
        <v>2632</v>
      </c>
      <c r="O325" s="4">
        <v>6</v>
      </c>
      <c r="P325" s="4" t="s">
        <v>2602</v>
      </c>
      <c r="Q325" s="4" t="s">
        <v>2528</v>
      </c>
      <c r="R325" s="4"/>
      <c r="S325" s="4"/>
      <c r="T325" s="4" t="str">
        <f>HYPERLINK("http://slimages.macys.com/is/image/MCY/20819681 ")</f>
        <v xml:space="preserve">http://slimages.macys.com/is/image/MCY/20819681 </v>
      </c>
    </row>
    <row r="326" spans="1:20" ht="15" customHeight="1" x14ac:dyDescent="0.25">
      <c r="A326" s="4" t="s">
        <v>2489</v>
      </c>
      <c r="B326" s="2" t="s">
        <v>2487</v>
      </c>
      <c r="C326" s="2" t="s">
        <v>2488</v>
      </c>
      <c r="D326" s="5" t="s">
        <v>2490</v>
      </c>
      <c r="E326" s="4" t="s">
        <v>2491</v>
      </c>
      <c r="F326" s="6">
        <v>14277629</v>
      </c>
      <c r="G326" s="3">
        <v>14277629</v>
      </c>
      <c r="H326" s="7">
        <v>733003924355</v>
      </c>
      <c r="I326" s="8" t="s">
        <v>1429</v>
      </c>
      <c r="J326" s="4">
        <v>1</v>
      </c>
      <c r="K326" s="9">
        <v>6.99</v>
      </c>
      <c r="L326" s="9">
        <v>6.99</v>
      </c>
      <c r="M326" s="4" t="s">
        <v>2786</v>
      </c>
      <c r="N326" s="4" t="s">
        <v>2600</v>
      </c>
      <c r="O326" s="4" t="s">
        <v>2566</v>
      </c>
      <c r="P326" s="4" t="s">
        <v>2503</v>
      </c>
      <c r="Q326" s="4" t="s">
        <v>2504</v>
      </c>
      <c r="R326" s="4"/>
      <c r="S326" s="4"/>
      <c r="T326" s="4" t="str">
        <f>HYPERLINK("http://slimages.macys.com/is/image/MCY/896347 ")</f>
        <v xml:space="preserve">http://slimages.macys.com/is/image/MCY/896347 </v>
      </c>
    </row>
    <row r="327" spans="1:20" ht="15" customHeight="1" x14ac:dyDescent="0.25">
      <c r="A327" s="4" t="s">
        <v>2489</v>
      </c>
      <c r="B327" s="2" t="s">
        <v>2487</v>
      </c>
      <c r="C327" s="2" t="s">
        <v>2488</v>
      </c>
      <c r="D327" s="5" t="s">
        <v>2490</v>
      </c>
      <c r="E327" s="4" t="s">
        <v>2491</v>
      </c>
      <c r="F327" s="6">
        <v>14277629</v>
      </c>
      <c r="G327" s="3">
        <v>14277629</v>
      </c>
      <c r="H327" s="7">
        <v>733003926830</v>
      </c>
      <c r="I327" s="8" t="s">
        <v>1430</v>
      </c>
      <c r="J327" s="4">
        <v>2</v>
      </c>
      <c r="K327" s="9">
        <v>5.99</v>
      </c>
      <c r="L327" s="9">
        <v>11.98</v>
      </c>
      <c r="M327" s="4" t="s">
        <v>3401</v>
      </c>
      <c r="N327" s="4" t="s">
        <v>2518</v>
      </c>
      <c r="O327" s="4" t="s">
        <v>2601</v>
      </c>
      <c r="P327" s="4" t="s">
        <v>2503</v>
      </c>
      <c r="Q327" s="4" t="s">
        <v>2504</v>
      </c>
      <c r="R327" s="4"/>
      <c r="S327" s="4"/>
      <c r="T327" s="4" t="str">
        <f>HYPERLINK("http://slimages.macys.com/is/image/MCY/903950 ")</f>
        <v xml:space="preserve">http://slimages.macys.com/is/image/MCY/903950 </v>
      </c>
    </row>
    <row r="328" spans="1:20" ht="15" customHeight="1" x14ac:dyDescent="0.25">
      <c r="A328" s="4" t="s">
        <v>2489</v>
      </c>
      <c r="B328" s="2" t="s">
        <v>2487</v>
      </c>
      <c r="C328" s="2" t="s">
        <v>2488</v>
      </c>
      <c r="D328" s="5" t="s">
        <v>2490</v>
      </c>
      <c r="E328" s="4" t="s">
        <v>2491</v>
      </c>
      <c r="F328" s="6">
        <v>14277629</v>
      </c>
      <c r="G328" s="3">
        <v>14277629</v>
      </c>
      <c r="H328" s="7">
        <v>742728902197</v>
      </c>
      <c r="I328" s="8" t="s">
        <v>1431</v>
      </c>
      <c r="J328" s="4">
        <v>5</v>
      </c>
      <c r="K328" s="9">
        <v>26.67</v>
      </c>
      <c r="L328" s="9">
        <v>133.35</v>
      </c>
      <c r="M328" s="4" t="s">
        <v>2051</v>
      </c>
      <c r="N328" s="4" t="s">
        <v>2964</v>
      </c>
      <c r="O328" s="4" t="s">
        <v>2498</v>
      </c>
      <c r="P328" s="4" t="s">
        <v>2556</v>
      </c>
      <c r="Q328" s="4" t="s">
        <v>2645</v>
      </c>
      <c r="R328" s="4"/>
      <c r="S328" s="4"/>
      <c r="T328" s="4" t="str">
        <f>HYPERLINK("http://slimages.macys.com/is/image/MCY/20651914 ")</f>
        <v xml:space="preserve">http://slimages.macys.com/is/image/MCY/20651914 </v>
      </c>
    </row>
    <row r="329" spans="1:20" ht="15" customHeight="1" x14ac:dyDescent="0.25">
      <c r="A329" s="4" t="s">
        <v>2489</v>
      </c>
      <c r="B329" s="2" t="s">
        <v>2487</v>
      </c>
      <c r="C329" s="2" t="s">
        <v>2488</v>
      </c>
      <c r="D329" s="5" t="s">
        <v>2490</v>
      </c>
      <c r="E329" s="4" t="s">
        <v>2491</v>
      </c>
      <c r="F329" s="6">
        <v>14277629</v>
      </c>
      <c r="G329" s="3">
        <v>14277629</v>
      </c>
      <c r="H329" s="7">
        <v>195958097834</v>
      </c>
      <c r="I329" s="8" t="s">
        <v>1432</v>
      </c>
      <c r="J329" s="4">
        <v>7</v>
      </c>
      <c r="K329" s="9">
        <v>44.5</v>
      </c>
      <c r="L329" s="9">
        <v>311.5</v>
      </c>
      <c r="M329" s="4" t="s">
        <v>1433</v>
      </c>
      <c r="N329" s="4" t="s">
        <v>2505</v>
      </c>
      <c r="O329" s="4"/>
      <c r="P329" s="4" t="s">
        <v>2985</v>
      </c>
      <c r="Q329" s="4" t="s">
        <v>2715</v>
      </c>
      <c r="R329" s="4"/>
      <c r="S329" s="4"/>
      <c r="T329" s="4" t="str">
        <f>HYPERLINK("http://slimages.macys.com/is/image/MCY/20349549 ")</f>
        <v xml:space="preserve">http://slimages.macys.com/is/image/MCY/20349549 </v>
      </c>
    </row>
    <row r="330" spans="1:20" ht="15" customHeight="1" x14ac:dyDescent="0.25">
      <c r="A330" s="4" t="s">
        <v>2489</v>
      </c>
      <c r="B330" s="2" t="s">
        <v>2487</v>
      </c>
      <c r="C330" s="2" t="s">
        <v>2488</v>
      </c>
      <c r="D330" s="5" t="s">
        <v>2490</v>
      </c>
      <c r="E330" s="4" t="s">
        <v>2491</v>
      </c>
      <c r="F330" s="6">
        <v>14277629</v>
      </c>
      <c r="G330" s="3">
        <v>14277629</v>
      </c>
      <c r="H330" s="7">
        <v>195958110823</v>
      </c>
      <c r="I330" s="8" t="s">
        <v>1434</v>
      </c>
      <c r="J330" s="4">
        <v>7</v>
      </c>
      <c r="K330" s="9">
        <v>39.5</v>
      </c>
      <c r="L330" s="9">
        <v>276.5</v>
      </c>
      <c r="M330" s="4" t="s">
        <v>1435</v>
      </c>
      <c r="N330" s="4" t="s">
        <v>2676</v>
      </c>
      <c r="O330" s="4" t="s">
        <v>2705</v>
      </c>
      <c r="P330" s="4" t="s">
        <v>2714</v>
      </c>
      <c r="Q330" s="4" t="s">
        <v>2715</v>
      </c>
      <c r="R330" s="4"/>
      <c r="S330" s="4"/>
      <c r="T330" s="4" t="str">
        <f>HYPERLINK("http://slimages.macys.com/is/image/MCY/19902809 ")</f>
        <v xml:space="preserve">http://slimages.macys.com/is/image/MCY/19902809 </v>
      </c>
    </row>
    <row r="331" spans="1:20" ht="15" customHeight="1" x14ac:dyDescent="0.25">
      <c r="A331" s="4" t="s">
        <v>2489</v>
      </c>
      <c r="B331" s="2" t="s">
        <v>2487</v>
      </c>
      <c r="C331" s="2" t="s">
        <v>2488</v>
      </c>
      <c r="D331" s="5" t="s">
        <v>2490</v>
      </c>
      <c r="E331" s="4" t="s">
        <v>2491</v>
      </c>
      <c r="F331" s="6">
        <v>14277629</v>
      </c>
      <c r="G331" s="3">
        <v>14277629</v>
      </c>
      <c r="H331" s="7">
        <v>194257392244</v>
      </c>
      <c r="I331" s="8" t="s">
        <v>2396</v>
      </c>
      <c r="J331" s="4">
        <v>14</v>
      </c>
      <c r="K331" s="9">
        <v>16.989999999999998</v>
      </c>
      <c r="L331" s="9">
        <v>237.86</v>
      </c>
      <c r="M331" s="4" t="s">
        <v>2693</v>
      </c>
      <c r="N331" s="4" t="s">
        <v>2531</v>
      </c>
      <c r="O331" s="4" t="s">
        <v>2519</v>
      </c>
      <c r="P331" s="4" t="s">
        <v>2499</v>
      </c>
      <c r="Q331" s="4" t="s">
        <v>2500</v>
      </c>
      <c r="R331" s="4"/>
      <c r="S331" s="4"/>
      <c r="T331" s="4" t="str">
        <f>HYPERLINK("http://slimages.macys.com/is/image/MCY/19513585 ")</f>
        <v xml:space="preserve">http://slimages.macys.com/is/image/MCY/19513585 </v>
      </c>
    </row>
    <row r="332" spans="1:20" ht="15" customHeight="1" x14ac:dyDescent="0.25">
      <c r="A332" s="4" t="s">
        <v>2489</v>
      </c>
      <c r="B332" s="2" t="s">
        <v>2487</v>
      </c>
      <c r="C332" s="2" t="s">
        <v>2488</v>
      </c>
      <c r="D332" s="5" t="s">
        <v>2490</v>
      </c>
      <c r="E332" s="4" t="s">
        <v>2491</v>
      </c>
      <c r="F332" s="6">
        <v>14277629</v>
      </c>
      <c r="G332" s="3">
        <v>14277629</v>
      </c>
      <c r="H332" s="7">
        <v>807421115272</v>
      </c>
      <c r="I332" s="8" t="s">
        <v>1436</v>
      </c>
      <c r="J332" s="4">
        <v>1</v>
      </c>
      <c r="K332" s="9">
        <v>13.99</v>
      </c>
      <c r="L332" s="9">
        <v>13.99</v>
      </c>
      <c r="M332" s="4" t="s">
        <v>2081</v>
      </c>
      <c r="N332" s="4" t="s">
        <v>2728</v>
      </c>
      <c r="O332" s="4" t="s">
        <v>2591</v>
      </c>
      <c r="P332" s="4" t="s">
        <v>2740</v>
      </c>
      <c r="Q332" s="4" t="s">
        <v>2733</v>
      </c>
      <c r="R332" s="4"/>
      <c r="S332" s="4"/>
      <c r="T332" s="4" t="str">
        <f>HYPERLINK("http://slimages.macys.com/is/image/MCY/20192991 ")</f>
        <v xml:space="preserve">http://slimages.macys.com/is/image/MCY/20192991 </v>
      </c>
    </row>
    <row r="333" spans="1:20" ht="15" customHeight="1" x14ac:dyDescent="0.25">
      <c r="A333" s="4" t="s">
        <v>2489</v>
      </c>
      <c r="B333" s="2" t="s">
        <v>2487</v>
      </c>
      <c r="C333" s="2" t="s">
        <v>2488</v>
      </c>
      <c r="D333" s="5" t="s">
        <v>2490</v>
      </c>
      <c r="E333" s="4" t="s">
        <v>2491</v>
      </c>
      <c r="F333" s="6">
        <v>14277629</v>
      </c>
      <c r="G333" s="3">
        <v>14277629</v>
      </c>
      <c r="H333" s="7">
        <v>733004591730</v>
      </c>
      <c r="I333" s="8" t="s">
        <v>1437</v>
      </c>
      <c r="J333" s="4">
        <v>1</v>
      </c>
      <c r="K333" s="9">
        <v>15.99</v>
      </c>
      <c r="L333" s="9">
        <v>15.99</v>
      </c>
      <c r="M333" s="4">
        <v>10013097200</v>
      </c>
      <c r="N333" s="4" t="s">
        <v>2505</v>
      </c>
      <c r="O333" s="4"/>
      <c r="P333" s="4" t="s">
        <v>2503</v>
      </c>
      <c r="Q333" s="4" t="s">
        <v>2504</v>
      </c>
      <c r="R333" s="4"/>
      <c r="S333" s="4"/>
      <c r="T333" s="4" t="str">
        <f>HYPERLINK("http://slimages.macys.com/is/image/MCY/1006593 ")</f>
        <v xml:space="preserve">http://slimages.macys.com/is/image/MCY/1006593 </v>
      </c>
    </row>
    <row r="334" spans="1:20" ht="15" customHeight="1" x14ac:dyDescent="0.25">
      <c r="A334" s="4" t="s">
        <v>2489</v>
      </c>
      <c r="B334" s="2" t="s">
        <v>2487</v>
      </c>
      <c r="C334" s="2" t="s">
        <v>2488</v>
      </c>
      <c r="D334" s="5" t="s">
        <v>2490</v>
      </c>
      <c r="E334" s="4" t="s">
        <v>2491</v>
      </c>
      <c r="F334" s="6">
        <v>14277629</v>
      </c>
      <c r="G334" s="3">
        <v>14277629</v>
      </c>
      <c r="H334" s="7">
        <v>733004782763</v>
      </c>
      <c r="I334" s="8" t="s">
        <v>1438</v>
      </c>
      <c r="J334" s="4">
        <v>2</v>
      </c>
      <c r="K334" s="9">
        <v>7.99</v>
      </c>
      <c r="L334" s="9">
        <v>15.98</v>
      </c>
      <c r="M334" s="4" t="s">
        <v>1810</v>
      </c>
      <c r="N334" s="4" t="s">
        <v>2561</v>
      </c>
      <c r="O334" s="4" t="s">
        <v>2653</v>
      </c>
      <c r="P334" s="4" t="s">
        <v>2602</v>
      </c>
      <c r="Q334" s="4" t="s">
        <v>2528</v>
      </c>
      <c r="R334" s="4"/>
      <c r="S334" s="4"/>
      <c r="T334" s="4" t="str">
        <f>HYPERLINK("http://slimages.macys.com/is/image/MCY/1040305 ")</f>
        <v xml:space="preserve">http://slimages.macys.com/is/image/MCY/1040305 </v>
      </c>
    </row>
    <row r="335" spans="1:20" ht="15" customHeight="1" x14ac:dyDescent="0.25">
      <c r="A335" s="4" t="s">
        <v>2489</v>
      </c>
      <c r="B335" s="2" t="s">
        <v>2487</v>
      </c>
      <c r="C335" s="2" t="s">
        <v>2488</v>
      </c>
      <c r="D335" s="5" t="s">
        <v>2490</v>
      </c>
      <c r="E335" s="4" t="s">
        <v>2491</v>
      </c>
      <c r="F335" s="6">
        <v>14277629</v>
      </c>
      <c r="G335" s="3">
        <v>14277629</v>
      </c>
      <c r="H335" s="7">
        <v>733004747632</v>
      </c>
      <c r="I335" s="8" t="s">
        <v>2096</v>
      </c>
      <c r="J335" s="4">
        <v>1</v>
      </c>
      <c r="K335" s="9">
        <v>6.99</v>
      </c>
      <c r="L335" s="9">
        <v>6.99</v>
      </c>
      <c r="M335" s="4" t="s">
        <v>3272</v>
      </c>
      <c r="N335" s="4" t="s">
        <v>2638</v>
      </c>
      <c r="O335" s="4" t="s">
        <v>2566</v>
      </c>
      <c r="P335" s="4" t="s">
        <v>2503</v>
      </c>
      <c r="Q335" s="4" t="s">
        <v>2504</v>
      </c>
      <c r="R335" s="4"/>
      <c r="S335" s="4"/>
      <c r="T335" s="4" t="str">
        <f>HYPERLINK("http://slimages.macys.com/is/image/MCY/19977504 ")</f>
        <v xml:space="preserve">http://slimages.macys.com/is/image/MCY/19977504 </v>
      </c>
    </row>
    <row r="336" spans="1:20" ht="15" customHeight="1" x14ac:dyDescent="0.25">
      <c r="A336" s="4" t="s">
        <v>2489</v>
      </c>
      <c r="B336" s="2" t="s">
        <v>2487</v>
      </c>
      <c r="C336" s="2" t="s">
        <v>2488</v>
      </c>
      <c r="D336" s="5" t="s">
        <v>2490</v>
      </c>
      <c r="E336" s="4" t="s">
        <v>2491</v>
      </c>
      <c r="F336" s="6">
        <v>14277629</v>
      </c>
      <c r="G336" s="3">
        <v>14277629</v>
      </c>
      <c r="H336" s="7">
        <v>762120086141</v>
      </c>
      <c r="I336" s="8" t="s">
        <v>1439</v>
      </c>
      <c r="J336" s="4">
        <v>1</v>
      </c>
      <c r="K336" s="9">
        <v>7.99</v>
      </c>
      <c r="L336" s="9">
        <v>7.99</v>
      </c>
      <c r="M336" s="4" t="s">
        <v>2806</v>
      </c>
      <c r="N336" s="4" t="s">
        <v>2530</v>
      </c>
      <c r="O336" s="4">
        <v>6</v>
      </c>
      <c r="P336" s="4" t="s">
        <v>2602</v>
      </c>
      <c r="Q336" s="4" t="s">
        <v>2528</v>
      </c>
      <c r="R336" s="4"/>
      <c r="S336" s="4"/>
      <c r="T336" s="4" t="str">
        <f>HYPERLINK("http://slimages.macys.com/is/image/MCY/20691835 ")</f>
        <v xml:space="preserve">http://slimages.macys.com/is/image/MCY/20691835 </v>
      </c>
    </row>
    <row r="337" spans="1:20" ht="15" customHeight="1" x14ac:dyDescent="0.25">
      <c r="A337" s="4" t="s">
        <v>2489</v>
      </c>
      <c r="B337" s="2" t="s">
        <v>2487</v>
      </c>
      <c r="C337" s="2" t="s">
        <v>2488</v>
      </c>
      <c r="D337" s="5" t="s">
        <v>2490</v>
      </c>
      <c r="E337" s="4" t="s">
        <v>2491</v>
      </c>
      <c r="F337" s="6">
        <v>14277629</v>
      </c>
      <c r="G337" s="3">
        <v>14277629</v>
      </c>
      <c r="H337" s="7">
        <v>194133182846</v>
      </c>
      <c r="I337" s="8" t="s">
        <v>1440</v>
      </c>
      <c r="J337" s="4">
        <v>1</v>
      </c>
      <c r="K337" s="9">
        <v>14.55</v>
      </c>
      <c r="L337" s="9">
        <v>14.55</v>
      </c>
      <c r="M337" s="4" t="s">
        <v>1441</v>
      </c>
      <c r="N337" s="4" t="s">
        <v>2514</v>
      </c>
      <c r="O337" s="4" t="s">
        <v>2502</v>
      </c>
      <c r="P337" s="4" t="s">
        <v>2494</v>
      </c>
      <c r="Q337" s="4" t="s">
        <v>2495</v>
      </c>
      <c r="R337" s="4"/>
      <c r="S337" s="4"/>
      <c r="T337" s="4" t="str">
        <f>HYPERLINK("http://slimages.macys.com/is/image/MCY/17269520 ")</f>
        <v xml:space="preserve">http://slimages.macys.com/is/image/MCY/17269520 </v>
      </c>
    </row>
    <row r="338" spans="1:20" ht="15" customHeight="1" x14ac:dyDescent="0.25">
      <c r="A338" s="4" t="s">
        <v>2489</v>
      </c>
      <c r="B338" s="2" t="s">
        <v>2487</v>
      </c>
      <c r="C338" s="2" t="s">
        <v>2488</v>
      </c>
      <c r="D338" s="5" t="s">
        <v>2490</v>
      </c>
      <c r="E338" s="4" t="s">
        <v>2491</v>
      </c>
      <c r="F338" s="6">
        <v>14277629</v>
      </c>
      <c r="G338" s="3">
        <v>14277629</v>
      </c>
      <c r="H338" s="7">
        <v>733004112591</v>
      </c>
      <c r="I338" s="8" t="s">
        <v>1442</v>
      </c>
      <c r="J338" s="4">
        <v>1</v>
      </c>
      <c r="K338" s="9">
        <v>7.99</v>
      </c>
      <c r="L338" s="9">
        <v>7.99</v>
      </c>
      <c r="M338" s="4" t="s">
        <v>1240</v>
      </c>
      <c r="N338" s="4" t="s">
        <v>2571</v>
      </c>
      <c r="O338" s="4">
        <v>7</v>
      </c>
      <c r="P338" s="4" t="s">
        <v>2520</v>
      </c>
      <c r="Q338" s="4" t="s">
        <v>2528</v>
      </c>
      <c r="R338" s="4"/>
      <c r="S338" s="4"/>
      <c r="T338" s="4" t="str">
        <f>HYPERLINK("http://slimages.macys.com/is/image/MCY/19844159 ")</f>
        <v xml:space="preserve">http://slimages.macys.com/is/image/MCY/19844159 </v>
      </c>
    </row>
    <row r="339" spans="1:20" ht="15" customHeight="1" x14ac:dyDescent="0.25">
      <c r="A339" s="4" t="s">
        <v>2489</v>
      </c>
      <c r="B339" s="2" t="s">
        <v>2487</v>
      </c>
      <c r="C339" s="2" t="s">
        <v>2488</v>
      </c>
      <c r="D339" s="5" t="s">
        <v>2490</v>
      </c>
      <c r="E339" s="4" t="s">
        <v>2491</v>
      </c>
      <c r="F339" s="6">
        <v>14277629</v>
      </c>
      <c r="G339" s="3">
        <v>14277629</v>
      </c>
      <c r="H339" s="7">
        <v>733003928599</v>
      </c>
      <c r="I339" s="8" t="s">
        <v>3025</v>
      </c>
      <c r="J339" s="4">
        <v>1</v>
      </c>
      <c r="K339" s="9">
        <v>7.99</v>
      </c>
      <c r="L339" s="9">
        <v>7.99</v>
      </c>
      <c r="M339" s="4" t="s">
        <v>3026</v>
      </c>
      <c r="N339" s="4" t="s">
        <v>2531</v>
      </c>
      <c r="O339" s="4" t="s">
        <v>2629</v>
      </c>
      <c r="P339" s="4" t="s">
        <v>2503</v>
      </c>
      <c r="Q339" s="4" t="s">
        <v>2504</v>
      </c>
      <c r="R339" s="4"/>
      <c r="S339" s="4"/>
      <c r="T339" s="4" t="str">
        <f>HYPERLINK("http://slimages.macys.com/is/image/MCY/19508081 ")</f>
        <v xml:space="preserve">http://slimages.macys.com/is/image/MCY/19508081 </v>
      </c>
    </row>
    <row r="340" spans="1:20" ht="15" customHeight="1" x14ac:dyDescent="0.25">
      <c r="A340" s="4" t="s">
        <v>2489</v>
      </c>
      <c r="B340" s="2" t="s">
        <v>2487</v>
      </c>
      <c r="C340" s="2" t="s">
        <v>2488</v>
      </c>
      <c r="D340" s="5" t="s">
        <v>2490</v>
      </c>
      <c r="E340" s="4" t="s">
        <v>2491</v>
      </c>
      <c r="F340" s="6">
        <v>14277629</v>
      </c>
      <c r="G340" s="3">
        <v>14277629</v>
      </c>
      <c r="H340" s="7">
        <v>762120123839</v>
      </c>
      <c r="I340" s="8" t="s">
        <v>3138</v>
      </c>
      <c r="J340" s="4">
        <v>1</v>
      </c>
      <c r="K340" s="9">
        <v>7.99</v>
      </c>
      <c r="L340" s="9">
        <v>7.99</v>
      </c>
      <c r="M340" s="4" t="s">
        <v>3139</v>
      </c>
      <c r="N340" s="4" t="s">
        <v>2561</v>
      </c>
      <c r="O340" s="4" t="s">
        <v>2650</v>
      </c>
      <c r="P340" s="4" t="s">
        <v>2503</v>
      </c>
      <c r="Q340" s="4" t="s">
        <v>2504</v>
      </c>
      <c r="R340" s="4"/>
      <c r="S340" s="4"/>
      <c r="T340" s="4" t="str">
        <f>HYPERLINK("http://slimages.macys.com/is/image/MCY/20386027 ")</f>
        <v xml:space="preserve">http://slimages.macys.com/is/image/MCY/20386027 </v>
      </c>
    </row>
    <row r="341" spans="1:20" ht="15" customHeight="1" x14ac:dyDescent="0.25">
      <c r="A341" s="4" t="s">
        <v>2489</v>
      </c>
      <c r="B341" s="2" t="s">
        <v>2487</v>
      </c>
      <c r="C341" s="2" t="s">
        <v>2488</v>
      </c>
      <c r="D341" s="5" t="s">
        <v>2490</v>
      </c>
      <c r="E341" s="4" t="s">
        <v>2491</v>
      </c>
      <c r="F341" s="6">
        <v>14277629</v>
      </c>
      <c r="G341" s="3">
        <v>14277629</v>
      </c>
      <c r="H341" s="7">
        <v>733004780110</v>
      </c>
      <c r="I341" s="8" t="s">
        <v>3374</v>
      </c>
      <c r="J341" s="4">
        <v>1</v>
      </c>
      <c r="K341" s="9">
        <v>7.99</v>
      </c>
      <c r="L341" s="9">
        <v>7.99</v>
      </c>
      <c r="M341" s="4" t="s">
        <v>3126</v>
      </c>
      <c r="N341" s="4" t="s">
        <v>2567</v>
      </c>
      <c r="O341" s="4">
        <v>5</v>
      </c>
      <c r="P341" s="4" t="s">
        <v>2602</v>
      </c>
      <c r="Q341" s="4" t="s">
        <v>2528</v>
      </c>
      <c r="R341" s="4"/>
      <c r="S341" s="4"/>
      <c r="T341" s="4" t="str">
        <f>HYPERLINK("http://slimages.macys.com/is/image/MCY/20450165 ")</f>
        <v xml:space="preserve">http://slimages.macys.com/is/image/MCY/20450165 </v>
      </c>
    </row>
    <row r="342" spans="1:20" ht="15" customHeight="1" x14ac:dyDescent="0.25">
      <c r="A342" s="4" t="s">
        <v>2489</v>
      </c>
      <c r="B342" s="2" t="s">
        <v>2487</v>
      </c>
      <c r="C342" s="2" t="s">
        <v>2488</v>
      </c>
      <c r="D342" s="5" t="s">
        <v>2490</v>
      </c>
      <c r="E342" s="4" t="s">
        <v>2491</v>
      </c>
      <c r="F342" s="6">
        <v>14277629</v>
      </c>
      <c r="G342" s="3">
        <v>14277629</v>
      </c>
      <c r="H342" s="7">
        <v>733004748325</v>
      </c>
      <c r="I342" s="8" t="s">
        <v>1443</v>
      </c>
      <c r="J342" s="4">
        <v>1</v>
      </c>
      <c r="K342" s="9">
        <v>7.99</v>
      </c>
      <c r="L342" s="9">
        <v>7.99</v>
      </c>
      <c r="M342" s="4" t="s">
        <v>1444</v>
      </c>
      <c r="N342" s="4" t="s">
        <v>2531</v>
      </c>
      <c r="O342" s="4" t="s">
        <v>2628</v>
      </c>
      <c r="P342" s="4" t="s">
        <v>2503</v>
      </c>
      <c r="Q342" s="4" t="s">
        <v>2504</v>
      </c>
      <c r="R342" s="4"/>
      <c r="S342" s="4"/>
      <c r="T342" s="4" t="str">
        <f>HYPERLINK("http://slimages.macys.com/is/image/MCY/19977416 ")</f>
        <v xml:space="preserve">http://slimages.macys.com/is/image/MCY/19977416 </v>
      </c>
    </row>
    <row r="343" spans="1:20" ht="15" customHeight="1" x14ac:dyDescent="0.25">
      <c r="A343" s="4" t="s">
        <v>2489</v>
      </c>
      <c r="B343" s="2" t="s">
        <v>2487</v>
      </c>
      <c r="C343" s="2" t="s">
        <v>2488</v>
      </c>
      <c r="D343" s="5" t="s">
        <v>2490</v>
      </c>
      <c r="E343" s="4" t="s">
        <v>2491</v>
      </c>
      <c r="F343" s="6">
        <v>14277629</v>
      </c>
      <c r="G343" s="3">
        <v>14277629</v>
      </c>
      <c r="H343" s="7">
        <v>192401317013</v>
      </c>
      <c r="I343" s="8" t="s">
        <v>1445</v>
      </c>
      <c r="J343" s="4">
        <v>1</v>
      </c>
      <c r="K343" s="9">
        <v>17</v>
      </c>
      <c r="L343" s="9">
        <v>17</v>
      </c>
      <c r="M343" s="4" t="s">
        <v>3422</v>
      </c>
      <c r="N343" s="4"/>
      <c r="O343" s="4" t="s">
        <v>2498</v>
      </c>
      <c r="P343" s="4" t="s">
        <v>2556</v>
      </c>
      <c r="Q343" s="4" t="s">
        <v>2882</v>
      </c>
      <c r="R343" s="4"/>
      <c r="S343" s="4"/>
      <c r="T343" s="4" t="str">
        <f>HYPERLINK("http://slimages.macys.com/is/image/MCY/20346636 ")</f>
        <v xml:space="preserve">http://slimages.macys.com/is/image/MCY/20346636 </v>
      </c>
    </row>
    <row r="344" spans="1:20" ht="15" customHeight="1" x14ac:dyDescent="0.25">
      <c r="A344" s="4" t="s">
        <v>2489</v>
      </c>
      <c r="B344" s="2" t="s">
        <v>2487</v>
      </c>
      <c r="C344" s="2" t="s">
        <v>2488</v>
      </c>
      <c r="D344" s="5" t="s">
        <v>2490</v>
      </c>
      <c r="E344" s="4" t="s">
        <v>2491</v>
      </c>
      <c r="F344" s="6">
        <v>14277629</v>
      </c>
      <c r="G344" s="3">
        <v>14277629</v>
      </c>
      <c r="H344" s="7">
        <v>194870430842</v>
      </c>
      <c r="I344" s="8" t="s">
        <v>3086</v>
      </c>
      <c r="J344" s="4">
        <v>1</v>
      </c>
      <c r="K344" s="9">
        <v>37.99</v>
      </c>
      <c r="L344" s="9">
        <v>37.99</v>
      </c>
      <c r="M344" s="4" t="s">
        <v>3066</v>
      </c>
      <c r="N344" s="4" t="s">
        <v>2501</v>
      </c>
      <c r="O344" s="4" t="s">
        <v>2555</v>
      </c>
      <c r="P344" s="4" t="s">
        <v>2619</v>
      </c>
      <c r="Q344" s="4" t="s">
        <v>2681</v>
      </c>
      <c r="R344" s="4"/>
      <c r="S344" s="4"/>
      <c r="T344" s="4" t="str">
        <f>HYPERLINK("http://slimages.macys.com/is/image/MCY/19730161 ")</f>
        <v xml:space="preserve">http://slimages.macys.com/is/image/MCY/19730161 </v>
      </c>
    </row>
    <row r="345" spans="1:20" ht="15" customHeight="1" x14ac:dyDescent="0.25">
      <c r="A345" s="4" t="s">
        <v>2489</v>
      </c>
      <c r="B345" s="2" t="s">
        <v>2487</v>
      </c>
      <c r="C345" s="2" t="s">
        <v>2488</v>
      </c>
      <c r="D345" s="5" t="s">
        <v>2490</v>
      </c>
      <c r="E345" s="4" t="s">
        <v>2491</v>
      </c>
      <c r="F345" s="6">
        <v>14277629</v>
      </c>
      <c r="G345" s="3">
        <v>14277629</v>
      </c>
      <c r="H345" s="7">
        <v>194257621436</v>
      </c>
      <c r="I345" s="8" t="s">
        <v>1446</v>
      </c>
      <c r="J345" s="4">
        <v>1</v>
      </c>
      <c r="K345" s="9">
        <v>7.99</v>
      </c>
      <c r="L345" s="9">
        <v>7.99</v>
      </c>
      <c r="M345" s="4" t="s">
        <v>2684</v>
      </c>
      <c r="N345" s="4" t="s">
        <v>2685</v>
      </c>
      <c r="O345" s="4" t="s">
        <v>2705</v>
      </c>
      <c r="P345" s="4" t="s">
        <v>2499</v>
      </c>
      <c r="Q345" s="4" t="s">
        <v>2525</v>
      </c>
      <c r="R345" s="4"/>
      <c r="S345" s="4"/>
      <c r="T345" s="4" t="str">
        <f>HYPERLINK("http://slimages.macys.com/is/image/MCY/20417762 ")</f>
        <v xml:space="preserve">http://slimages.macys.com/is/image/MCY/20417762 </v>
      </c>
    </row>
    <row r="346" spans="1:20" ht="15" customHeight="1" x14ac:dyDescent="0.25">
      <c r="A346" s="4" t="s">
        <v>2489</v>
      </c>
      <c r="B346" s="2" t="s">
        <v>2487</v>
      </c>
      <c r="C346" s="2" t="s">
        <v>2488</v>
      </c>
      <c r="D346" s="5" t="s">
        <v>2490</v>
      </c>
      <c r="E346" s="4" t="s">
        <v>2491</v>
      </c>
      <c r="F346" s="6">
        <v>14277629</v>
      </c>
      <c r="G346" s="3">
        <v>14277629</v>
      </c>
      <c r="H346" s="7">
        <v>194931204849</v>
      </c>
      <c r="I346" s="8" t="s">
        <v>1851</v>
      </c>
      <c r="J346" s="4">
        <v>10</v>
      </c>
      <c r="K346" s="9">
        <v>21.6</v>
      </c>
      <c r="L346" s="9">
        <v>216</v>
      </c>
      <c r="M346" s="4" t="s">
        <v>2963</v>
      </c>
      <c r="N346" s="4" t="s">
        <v>2739</v>
      </c>
      <c r="O346" s="4"/>
      <c r="P346" s="4" t="s">
        <v>2622</v>
      </c>
      <c r="Q346" s="4" t="s">
        <v>2643</v>
      </c>
      <c r="R346" s="4"/>
      <c r="S346" s="4"/>
      <c r="T346" s="4" t="str">
        <f>HYPERLINK("http://slimages.macys.com/is/image/MCY/19992480 ")</f>
        <v xml:space="preserve">http://slimages.macys.com/is/image/MCY/19992480 </v>
      </c>
    </row>
    <row r="347" spans="1:20" ht="15" customHeight="1" x14ac:dyDescent="0.25">
      <c r="A347" s="4" t="s">
        <v>2489</v>
      </c>
      <c r="B347" s="2" t="s">
        <v>2487</v>
      </c>
      <c r="C347" s="2" t="s">
        <v>2488</v>
      </c>
      <c r="D347" s="5" t="s">
        <v>2490</v>
      </c>
      <c r="E347" s="4" t="s">
        <v>2491</v>
      </c>
      <c r="F347" s="6">
        <v>14277629</v>
      </c>
      <c r="G347" s="3">
        <v>14277629</v>
      </c>
      <c r="H347" s="7">
        <v>640013101068</v>
      </c>
      <c r="I347" s="8" t="s">
        <v>1447</v>
      </c>
      <c r="J347" s="4">
        <v>24</v>
      </c>
      <c r="K347" s="9">
        <v>13.99</v>
      </c>
      <c r="L347" s="9">
        <v>335.76</v>
      </c>
      <c r="M347" s="4" t="s">
        <v>1892</v>
      </c>
      <c r="N347" s="4" t="s">
        <v>2497</v>
      </c>
      <c r="O347" s="4" t="s">
        <v>2519</v>
      </c>
      <c r="P347" s="4" t="s">
        <v>2556</v>
      </c>
      <c r="Q347" s="4" t="s">
        <v>2557</v>
      </c>
      <c r="R347" s="4"/>
      <c r="S347" s="4"/>
      <c r="T347" s="4" t="str">
        <f>HYPERLINK("http://slimages.macys.com/is/image/MCY/20490693 ")</f>
        <v xml:space="preserve">http://slimages.macys.com/is/image/MCY/20490693 </v>
      </c>
    </row>
    <row r="348" spans="1:20" ht="15" customHeight="1" x14ac:dyDescent="0.25">
      <c r="A348" s="4" t="s">
        <v>2489</v>
      </c>
      <c r="B348" s="2" t="s">
        <v>2487</v>
      </c>
      <c r="C348" s="2" t="s">
        <v>2488</v>
      </c>
      <c r="D348" s="5" t="s">
        <v>2490</v>
      </c>
      <c r="E348" s="4" t="s">
        <v>2491</v>
      </c>
      <c r="F348" s="6">
        <v>14277629</v>
      </c>
      <c r="G348" s="3">
        <v>14277629</v>
      </c>
      <c r="H348" s="7">
        <v>194931204931</v>
      </c>
      <c r="I348" s="8" t="s">
        <v>2023</v>
      </c>
      <c r="J348" s="4">
        <v>1</v>
      </c>
      <c r="K348" s="9">
        <v>21.6</v>
      </c>
      <c r="L348" s="9">
        <v>21.6</v>
      </c>
      <c r="M348" s="4" t="s">
        <v>2024</v>
      </c>
      <c r="N348" s="4" t="s">
        <v>2739</v>
      </c>
      <c r="O348" s="4"/>
      <c r="P348" s="4" t="s">
        <v>2622</v>
      </c>
      <c r="Q348" s="4" t="s">
        <v>2643</v>
      </c>
      <c r="R348" s="4"/>
      <c r="S348" s="4"/>
      <c r="T348" s="4" t="str">
        <f>HYPERLINK("http://slimages.macys.com/is/image/MCY/19992508 ")</f>
        <v xml:space="preserve">http://slimages.macys.com/is/image/MCY/19992508 </v>
      </c>
    </row>
    <row r="349" spans="1:20" ht="15" customHeight="1" x14ac:dyDescent="0.25">
      <c r="A349" s="4" t="s">
        <v>2489</v>
      </c>
      <c r="B349" s="2" t="s">
        <v>2487</v>
      </c>
      <c r="C349" s="2" t="s">
        <v>2488</v>
      </c>
      <c r="D349" s="5" t="s">
        <v>2490</v>
      </c>
      <c r="E349" s="4" t="s">
        <v>2491</v>
      </c>
      <c r="F349" s="6">
        <v>14277629</v>
      </c>
      <c r="G349" s="3">
        <v>14277629</v>
      </c>
      <c r="H349" s="7">
        <v>733004748141</v>
      </c>
      <c r="I349" s="8" t="s">
        <v>2636</v>
      </c>
      <c r="J349" s="4">
        <v>1</v>
      </c>
      <c r="K349" s="9">
        <v>7.99</v>
      </c>
      <c r="L349" s="9">
        <v>7.99</v>
      </c>
      <c r="M349" s="4" t="s">
        <v>2637</v>
      </c>
      <c r="N349" s="4" t="s">
        <v>2638</v>
      </c>
      <c r="O349" s="4" t="s">
        <v>2629</v>
      </c>
      <c r="P349" s="4" t="s">
        <v>2503</v>
      </c>
      <c r="Q349" s="4" t="s">
        <v>2504</v>
      </c>
      <c r="R349" s="4"/>
      <c r="S349" s="4"/>
      <c r="T349" s="4" t="str">
        <f>HYPERLINK("http://slimages.macys.com/is/image/MCY/19977505 ")</f>
        <v xml:space="preserve">http://slimages.macys.com/is/image/MCY/19977505 </v>
      </c>
    </row>
    <row r="350" spans="1:20" ht="15" customHeight="1" x14ac:dyDescent="0.25">
      <c r="A350" s="4" t="s">
        <v>2489</v>
      </c>
      <c r="B350" s="2" t="s">
        <v>2487</v>
      </c>
      <c r="C350" s="2" t="s">
        <v>2488</v>
      </c>
      <c r="D350" s="5" t="s">
        <v>2490</v>
      </c>
      <c r="E350" s="4" t="s">
        <v>2491</v>
      </c>
      <c r="F350" s="6">
        <v>14277629</v>
      </c>
      <c r="G350" s="3">
        <v>14277629</v>
      </c>
      <c r="H350" s="7">
        <v>194870780930</v>
      </c>
      <c r="I350" s="8" t="s">
        <v>1448</v>
      </c>
      <c r="J350" s="4">
        <v>1</v>
      </c>
      <c r="K350" s="9">
        <v>35.99</v>
      </c>
      <c r="L350" s="9">
        <v>35.99</v>
      </c>
      <c r="M350" s="4" t="s">
        <v>1449</v>
      </c>
      <c r="N350" s="4" t="s">
        <v>2497</v>
      </c>
      <c r="O350" s="4"/>
      <c r="P350" s="4" t="s">
        <v>2619</v>
      </c>
      <c r="Q350" s="4" t="s">
        <v>2681</v>
      </c>
      <c r="R350" s="4"/>
      <c r="S350" s="4"/>
      <c r="T350" s="4" t="str">
        <f>HYPERLINK("http://slimages.macys.com/is/image/MCY/19943212 ")</f>
        <v xml:space="preserve">http://slimages.macys.com/is/image/MCY/19943212 </v>
      </c>
    </row>
    <row r="351" spans="1:20" ht="15" customHeight="1" x14ac:dyDescent="0.25">
      <c r="A351" s="4" t="s">
        <v>2489</v>
      </c>
      <c r="B351" s="2" t="s">
        <v>2487</v>
      </c>
      <c r="C351" s="2" t="s">
        <v>2488</v>
      </c>
      <c r="D351" s="5" t="s">
        <v>2490</v>
      </c>
      <c r="E351" s="4" t="s">
        <v>2491</v>
      </c>
      <c r="F351" s="6">
        <v>14277629</v>
      </c>
      <c r="G351" s="3">
        <v>14277629</v>
      </c>
      <c r="H351" s="7">
        <v>733004746130</v>
      </c>
      <c r="I351" s="8" t="s">
        <v>2235</v>
      </c>
      <c r="J351" s="4">
        <v>1</v>
      </c>
      <c r="K351" s="9">
        <v>6.99</v>
      </c>
      <c r="L351" s="9">
        <v>6.99</v>
      </c>
      <c r="M351" s="4" t="s">
        <v>3371</v>
      </c>
      <c r="N351" s="4" t="s">
        <v>2505</v>
      </c>
      <c r="O351" s="4" t="s">
        <v>2559</v>
      </c>
      <c r="P351" s="4" t="s">
        <v>2503</v>
      </c>
      <c r="Q351" s="4" t="s">
        <v>2504</v>
      </c>
      <c r="R351" s="4"/>
      <c r="S351" s="4"/>
      <c r="T351" s="4" t="str">
        <f>HYPERLINK("http://slimages.macys.com/is/image/MCY/19977352 ")</f>
        <v xml:space="preserve">http://slimages.macys.com/is/image/MCY/19977352 </v>
      </c>
    </row>
    <row r="352" spans="1:20" ht="15" customHeight="1" x14ac:dyDescent="0.25">
      <c r="A352" s="4" t="s">
        <v>2489</v>
      </c>
      <c r="B352" s="2" t="s">
        <v>2487</v>
      </c>
      <c r="C352" s="2" t="s">
        <v>2488</v>
      </c>
      <c r="D352" s="5" t="s">
        <v>2490</v>
      </c>
      <c r="E352" s="4" t="s">
        <v>2491</v>
      </c>
      <c r="F352" s="6">
        <v>14277629</v>
      </c>
      <c r="G352" s="3">
        <v>14277629</v>
      </c>
      <c r="H352" s="7">
        <v>194753818101</v>
      </c>
      <c r="I352" s="8" t="s">
        <v>1450</v>
      </c>
      <c r="J352" s="4">
        <v>2</v>
      </c>
      <c r="K352" s="9">
        <v>26</v>
      </c>
      <c r="L352" s="9">
        <v>52</v>
      </c>
      <c r="M352" s="4" t="s">
        <v>2419</v>
      </c>
      <c r="N352" s="4" t="s">
        <v>2544</v>
      </c>
      <c r="O352" s="4" t="s">
        <v>2498</v>
      </c>
      <c r="P352" s="4" t="s">
        <v>2666</v>
      </c>
      <c r="Q352" s="4" t="s">
        <v>3399</v>
      </c>
      <c r="R352" s="4"/>
      <c r="S352" s="4"/>
      <c r="T352" s="4" t="str">
        <f>HYPERLINK("http://slimages.macys.com/is/image/MCY/20856095 ")</f>
        <v xml:space="preserve">http://slimages.macys.com/is/image/MCY/20856095 </v>
      </c>
    </row>
    <row r="353" spans="1:20" ht="15" customHeight="1" x14ac:dyDescent="0.25">
      <c r="A353" s="4" t="s">
        <v>2489</v>
      </c>
      <c r="B353" s="2" t="s">
        <v>2487</v>
      </c>
      <c r="C353" s="2" t="s">
        <v>2488</v>
      </c>
      <c r="D353" s="5" t="s">
        <v>2490</v>
      </c>
      <c r="E353" s="4" t="s">
        <v>2491</v>
      </c>
      <c r="F353" s="6">
        <v>14277629</v>
      </c>
      <c r="G353" s="3">
        <v>14277629</v>
      </c>
      <c r="H353" s="7">
        <v>194870504178</v>
      </c>
      <c r="I353" s="8" t="s">
        <v>1451</v>
      </c>
      <c r="J353" s="4">
        <v>1</v>
      </c>
      <c r="K353" s="9">
        <v>32.99</v>
      </c>
      <c r="L353" s="9">
        <v>32.99</v>
      </c>
      <c r="M353" s="4" t="s">
        <v>1452</v>
      </c>
      <c r="N353" s="4" t="s">
        <v>2497</v>
      </c>
      <c r="O353" s="4" t="s">
        <v>2597</v>
      </c>
      <c r="P353" s="4" t="s">
        <v>2740</v>
      </c>
      <c r="Q353" s="4" t="s">
        <v>2881</v>
      </c>
      <c r="R353" s="4"/>
      <c r="S353" s="4"/>
      <c r="T353" s="4" t="str">
        <f>HYPERLINK("http://slimages.macys.com/is/image/MCY/20792174 ")</f>
        <v xml:space="preserve">http://slimages.macys.com/is/image/MCY/20792174 </v>
      </c>
    </row>
    <row r="354" spans="1:20" ht="15" customHeight="1" x14ac:dyDescent="0.25">
      <c r="A354" s="4" t="s">
        <v>2489</v>
      </c>
      <c r="B354" s="2" t="s">
        <v>2487</v>
      </c>
      <c r="C354" s="2" t="s">
        <v>2488</v>
      </c>
      <c r="D354" s="5" t="s">
        <v>2490</v>
      </c>
      <c r="E354" s="4" t="s">
        <v>2491</v>
      </c>
      <c r="F354" s="6">
        <v>14277629</v>
      </c>
      <c r="G354" s="3">
        <v>14277629</v>
      </c>
      <c r="H354" s="7">
        <v>48283004155</v>
      </c>
      <c r="I354" s="8" t="s">
        <v>1453</v>
      </c>
      <c r="J354" s="4">
        <v>2</v>
      </c>
      <c r="K354" s="9">
        <v>12.28</v>
      </c>
      <c r="L354" s="9">
        <v>24.56</v>
      </c>
      <c r="M354" s="4" t="s">
        <v>1416</v>
      </c>
      <c r="N354" s="4" t="s">
        <v>2523</v>
      </c>
      <c r="O354" s="4" t="s">
        <v>2498</v>
      </c>
      <c r="P354" s="4" t="s">
        <v>2622</v>
      </c>
      <c r="Q354" s="4" t="s">
        <v>2623</v>
      </c>
      <c r="R354" s="4" t="s">
        <v>2552</v>
      </c>
      <c r="S354" s="4" t="s">
        <v>2624</v>
      </c>
      <c r="T354" s="4" t="str">
        <f>HYPERLINK("http://slimages.macys.com/is/image/MCY/3616081 ")</f>
        <v xml:space="preserve">http://slimages.macys.com/is/image/MCY/3616081 </v>
      </c>
    </row>
    <row r="355" spans="1:20" ht="15" customHeight="1" x14ac:dyDescent="0.25">
      <c r="A355" s="4" t="s">
        <v>2489</v>
      </c>
      <c r="B355" s="2" t="s">
        <v>2487</v>
      </c>
      <c r="C355" s="2" t="s">
        <v>2488</v>
      </c>
      <c r="D355" s="5" t="s">
        <v>2490</v>
      </c>
      <c r="E355" s="4" t="s">
        <v>2491</v>
      </c>
      <c r="F355" s="6">
        <v>14277629</v>
      </c>
      <c r="G355" s="3">
        <v>14277629</v>
      </c>
      <c r="H355" s="7">
        <v>762120085465</v>
      </c>
      <c r="I355" s="8" t="s">
        <v>2470</v>
      </c>
      <c r="J355" s="4">
        <v>1</v>
      </c>
      <c r="K355" s="9">
        <v>7.99</v>
      </c>
      <c r="L355" s="9">
        <v>7.99</v>
      </c>
      <c r="M355" s="4" t="s">
        <v>2929</v>
      </c>
      <c r="N355" s="4"/>
      <c r="O355" s="4" t="s">
        <v>2629</v>
      </c>
      <c r="P355" s="4" t="s">
        <v>2602</v>
      </c>
      <c r="Q355" s="4" t="s">
        <v>2528</v>
      </c>
      <c r="R355" s="4"/>
      <c r="S355" s="4"/>
      <c r="T355" s="4" t="str">
        <f>HYPERLINK("http://slimages.macys.com/is/image/MCY/20691813 ")</f>
        <v xml:space="preserve">http://slimages.macys.com/is/image/MCY/20691813 </v>
      </c>
    </row>
    <row r="356" spans="1:20" ht="15" customHeight="1" x14ac:dyDescent="0.25">
      <c r="A356" s="4" t="s">
        <v>2489</v>
      </c>
      <c r="B356" s="2" t="s">
        <v>2487</v>
      </c>
      <c r="C356" s="2" t="s">
        <v>2488</v>
      </c>
      <c r="D356" s="5" t="s">
        <v>2490</v>
      </c>
      <c r="E356" s="4" t="s">
        <v>2491</v>
      </c>
      <c r="F356" s="6">
        <v>14277629</v>
      </c>
      <c r="G356" s="3">
        <v>14277629</v>
      </c>
      <c r="H356" s="7">
        <v>195958124820</v>
      </c>
      <c r="I356" s="8" t="s">
        <v>1454</v>
      </c>
      <c r="J356" s="4">
        <v>1</v>
      </c>
      <c r="K356" s="9">
        <v>24.99</v>
      </c>
      <c r="L356" s="9">
        <v>24.99</v>
      </c>
      <c r="M356" s="4" t="s">
        <v>1455</v>
      </c>
      <c r="N356" s="4" t="s">
        <v>2544</v>
      </c>
      <c r="O356" s="4" t="s">
        <v>2705</v>
      </c>
      <c r="P356" s="4" t="s">
        <v>2536</v>
      </c>
      <c r="Q356" s="4" t="s">
        <v>2844</v>
      </c>
      <c r="R356" s="4"/>
      <c r="S356" s="4"/>
      <c r="T356" s="4" t="str">
        <f>HYPERLINK("http://slimages.macys.com/is/image/MCY/20844930 ")</f>
        <v xml:space="preserve">http://slimages.macys.com/is/image/MCY/20844930 </v>
      </c>
    </row>
    <row r="357" spans="1:20" ht="15" customHeight="1" x14ac:dyDescent="0.25">
      <c r="A357" s="4" t="s">
        <v>2489</v>
      </c>
      <c r="B357" s="2" t="s">
        <v>2487</v>
      </c>
      <c r="C357" s="2" t="s">
        <v>2488</v>
      </c>
      <c r="D357" s="5" t="s">
        <v>2490</v>
      </c>
      <c r="E357" s="4" t="s">
        <v>2491</v>
      </c>
      <c r="F357" s="6">
        <v>14277629</v>
      </c>
      <c r="G357" s="3">
        <v>14277629</v>
      </c>
      <c r="H357" s="7">
        <v>733004591822</v>
      </c>
      <c r="I357" s="8" t="s">
        <v>2843</v>
      </c>
      <c r="J357" s="4">
        <v>1</v>
      </c>
      <c r="K357" s="9">
        <v>17.989999999999998</v>
      </c>
      <c r="L357" s="9">
        <v>17.989999999999998</v>
      </c>
      <c r="M357" s="4">
        <v>10013097300</v>
      </c>
      <c r="N357" s="4" t="s">
        <v>2600</v>
      </c>
      <c r="O357" s="4" t="s">
        <v>2831</v>
      </c>
      <c r="P357" s="4" t="s">
        <v>2503</v>
      </c>
      <c r="Q357" s="4" t="s">
        <v>2504</v>
      </c>
      <c r="R357" s="4"/>
      <c r="S357" s="4"/>
      <c r="T357" s="4" t="str">
        <f>HYPERLINK("http://slimages.macys.com/is/image/MCY/19755903 ")</f>
        <v xml:space="preserve">http://slimages.macys.com/is/image/MCY/19755903 </v>
      </c>
    </row>
    <row r="358" spans="1:20" ht="15" customHeight="1" x14ac:dyDescent="0.25">
      <c r="A358" s="4" t="s">
        <v>2489</v>
      </c>
      <c r="B358" s="2" t="s">
        <v>2487</v>
      </c>
      <c r="C358" s="2" t="s">
        <v>2488</v>
      </c>
      <c r="D358" s="5" t="s">
        <v>2490</v>
      </c>
      <c r="E358" s="4" t="s">
        <v>2491</v>
      </c>
      <c r="F358" s="6">
        <v>14277629</v>
      </c>
      <c r="G358" s="3">
        <v>14277629</v>
      </c>
      <c r="H358" s="7">
        <v>733004884016</v>
      </c>
      <c r="I358" s="8" t="s">
        <v>2464</v>
      </c>
      <c r="J358" s="4">
        <v>2</v>
      </c>
      <c r="K358" s="9">
        <v>6.99</v>
      </c>
      <c r="L358" s="9">
        <v>13.98</v>
      </c>
      <c r="M358" s="4" t="s">
        <v>2234</v>
      </c>
      <c r="N358" s="4" t="s">
        <v>3049</v>
      </c>
      <c r="O358" s="4" t="s">
        <v>2601</v>
      </c>
      <c r="P358" s="4" t="s">
        <v>2503</v>
      </c>
      <c r="Q358" s="4" t="s">
        <v>2504</v>
      </c>
      <c r="R358" s="4"/>
      <c r="S358" s="4"/>
      <c r="T358" s="4" t="str">
        <f>HYPERLINK("http://slimages.macys.com/is/image/MCY/1041674 ")</f>
        <v xml:space="preserve">http://slimages.macys.com/is/image/MCY/1041674 </v>
      </c>
    </row>
    <row r="359" spans="1:20" ht="15" customHeight="1" x14ac:dyDescent="0.25">
      <c r="A359" s="4" t="s">
        <v>2489</v>
      </c>
      <c r="B359" s="2" t="s">
        <v>2487</v>
      </c>
      <c r="C359" s="2" t="s">
        <v>2488</v>
      </c>
      <c r="D359" s="5" t="s">
        <v>2490</v>
      </c>
      <c r="E359" s="4" t="s">
        <v>2491</v>
      </c>
      <c r="F359" s="6">
        <v>14277629</v>
      </c>
      <c r="G359" s="3">
        <v>14277629</v>
      </c>
      <c r="H359" s="7">
        <v>762120113267</v>
      </c>
      <c r="I359" s="8" t="s">
        <v>1915</v>
      </c>
      <c r="J359" s="4">
        <v>1</v>
      </c>
      <c r="K359" s="9">
        <v>6.99</v>
      </c>
      <c r="L359" s="9">
        <v>6.99</v>
      </c>
      <c r="M359" s="4" t="s">
        <v>2660</v>
      </c>
      <c r="N359" s="4" t="s">
        <v>2598</v>
      </c>
      <c r="O359" s="4" t="s">
        <v>2601</v>
      </c>
      <c r="P359" s="4" t="s">
        <v>2503</v>
      </c>
      <c r="Q359" s="4" t="s">
        <v>2504</v>
      </c>
      <c r="R359" s="4"/>
      <c r="S359" s="4"/>
      <c r="T359" s="4" t="str">
        <f>HYPERLINK("http://slimages.macys.com/is/image/MCY/19977390 ")</f>
        <v xml:space="preserve">http://slimages.macys.com/is/image/MCY/19977390 </v>
      </c>
    </row>
    <row r="360" spans="1:20" ht="15" customHeight="1" x14ac:dyDescent="0.25">
      <c r="A360" s="4" t="s">
        <v>2489</v>
      </c>
      <c r="B360" s="2" t="s">
        <v>2487</v>
      </c>
      <c r="C360" s="2" t="s">
        <v>2488</v>
      </c>
      <c r="D360" s="5" t="s">
        <v>2490</v>
      </c>
      <c r="E360" s="4" t="s">
        <v>2491</v>
      </c>
      <c r="F360" s="6">
        <v>14277629</v>
      </c>
      <c r="G360" s="3">
        <v>14277629</v>
      </c>
      <c r="H360" s="7">
        <v>762120086417</v>
      </c>
      <c r="I360" s="8" t="s">
        <v>1456</v>
      </c>
      <c r="J360" s="4">
        <v>1</v>
      </c>
      <c r="K360" s="9">
        <v>7.99</v>
      </c>
      <c r="L360" s="9">
        <v>7.99</v>
      </c>
      <c r="M360" s="4" t="s">
        <v>1776</v>
      </c>
      <c r="N360" s="4" t="s">
        <v>2638</v>
      </c>
      <c r="O360" s="4" t="s">
        <v>2650</v>
      </c>
      <c r="P360" s="4" t="s">
        <v>2602</v>
      </c>
      <c r="Q360" s="4" t="s">
        <v>2528</v>
      </c>
      <c r="R360" s="4"/>
      <c r="S360" s="4"/>
      <c r="T360" s="4" t="str">
        <f>HYPERLINK("http://slimages.macys.com/is/image/MCY/1079693 ")</f>
        <v xml:space="preserve">http://slimages.macys.com/is/image/MCY/1079693 </v>
      </c>
    </row>
    <row r="361" spans="1:20" ht="15" customHeight="1" x14ac:dyDescent="0.25">
      <c r="A361" s="4" t="s">
        <v>2489</v>
      </c>
      <c r="B361" s="2" t="s">
        <v>2487</v>
      </c>
      <c r="C361" s="2" t="s">
        <v>2488</v>
      </c>
      <c r="D361" s="5" t="s">
        <v>2490</v>
      </c>
      <c r="E361" s="4" t="s">
        <v>2491</v>
      </c>
      <c r="F361" s="6">
        <v>14277629</v>
      </c>
      <c r="G361" s="3">
        <v>14277629</v>
      </c>
      <c r="H361" s="7">
        <v>733004297649</v>
      </c>
      <c r="I361" s="8" t="s">
        <v>1935</v>
      </c>
      <c r="J361" s="4">
        <v>1</v>
      </c>
      <c r="K361" s="9">
        <v>27.99</v>
      </c>
      <c r="L361" s="9">
        <v>27.99</v>
      </c>
      <c r="M361" s="4" t="s">
        <v>2949</v>
      </c>
      <c r="N361" s="4" t="s">
        <v>2497</v>
      </c>
      <c r="O361" s="4" t="s">
        <v>2498</v>
      </c>
      <c r="P361" s="4" t="s">
        <v>2515</v>
      </c>
      <c r="Q361" s="4" t="s">
        <v>2672</v>
      </c>
      <c r="R361" s="4"/>
      <c r="S361" s="4"/>
      <c r="T361" s="4" t="str">
        <f>HYPERLINK("http://slimages.macys.com/is/image/MCY/20143278 ")</f>
        <v xml:space="preserve">http://slimages.macys.com/is/image/MCY/20143278 </v>
      </c>
    </row>
    <row r="362" spans="1:20" ht="15" customHeight="1" x14ac:dyDescent="0.25">
      <c r="A362" s="4" t="s">
        <v>2489</v>
      </c>
      <c r="B362" s="2" t="s">
        <v>2487</v>
      </c>
      <c r="C362" s="2" t="s">
        <v>2488</v>
      </c>
      <c r="D362" s="5" t="s">
        <v>2490</v>
      </c>
      <c r="E362" s="4" t="s">
        <v>2491</v>
      </c>
      <c r="F362" s="6">
        <v>14277629</v>
      </c>
      <c r="G362" s="3">
        <v>14277629</v>
      </c>
      <c r="H362" s="7">
        <v>617845243099</v>
      </c>
      <c r="I362" s="8" t="s">
        <v>1457</v>
      </c>
      <c r="J362" s="4">
        <v>1</v>
      </c>
      <c r="K362" s="9">
        <v>29.99</v>
      </c>
      <c r="L362" s="9">
        <v>29.99</v>
      </c>
      <c r="M362" s="4" t="s">
        <v>2790</v>
      </c>
      <c r="N362" s="4" t="s">
        <v>2518</v>
      </c>
      <c r="O362" s="4">
        <v>20</v>
      </c>
      <c r="P362" s="4" t="s">
        <v>2564</v>
      </c>
      <c r="Q362" s="4" t="s">
        <v>2507</v>
      </c>
      <c r="R362" s="4" t="s">
        <v>2552</v>
      </c>
      <c r="S362" s="4" t="s">
        <v>2791</v>
      </c>
      <c r="T362" s="4" t="str">
        <f>HYPERLINK("http://slimages.macys.com/is/image/MCY/15967849 ")</f>
        <v xml:space="preserve">http://slimages.macys.com/is/image/MCY/15967849 </v>
      </c>
    </row>
    <row r="363" spans="1:20" ht="15" customHeight="1" x14ac:dyDescent="0.25">
      <c r="A363" s="4" t="s">
        <v>2489</v>
      </c>
      <c r="B363" s="2" t="s">
        <v>2487</v>
      </c>
      <c r="C363" s="2" t="s">
        <v>2488</v>
      </c>
      <c r="D363" s="5" t="s">
        <v>2490</v>
      </c>
      <c r="E363" s="4" t="s">
        <v>2491</v>
      </c>
      <c r="F363" s="6">
        <v>14277629</v>
      </c>
      <c r="G363" s="3">
        <v>14277629</v>
      </c>
      <c r="H363" s="7">
        <v>733004779992</v>
      </c>
      <c r="I363" s="8" t="s">
        <v>1954</v>
      </c>
      <c r="J363" s="4">
        <v>1</v>
      </c>
      <c r="K363" s="9">
        <v>7.99</v>
      </c>
      <c r="L363" s="9">
        <v>7.99</v>
      </c>
      <c r="M363" s="4" t="s">
        <v>3128</v>
      </c>
      <c r="N363" s="4" t="s">
        <v>2632</v>
      </c>
      <c r="O363" s="4">
        <v>5</v>
      </c>
      <c r="P363" s="4" t="s">
        <v>2602</v>
      </c>
      <c r="Q363" s="4" t="s">
        <v>2528</v>
      </c>
      <c r="R363" s="4"/>
      <c r="S363" s="4"/>
      <c r="T363" s="4" t="str">
        <f>HYPERLINK("http://slimages.macys.com/is/image/MCY/20450161 ")</f>
        <v xml:space="preserve">http://slimages.macys.com/is/image/MCY/20450161 </v>
      </c>
    </row>
    <row r="364" spans="1:20" ht="15" customHeight="1" x14ac:dyDescent="0.25">
      <c r="A364" s="4" t="s">
        <v>2489</v>
      </c>
      <c r="B364" s="2" t="s">
        <v>2487</v>
      </c>
      <c r="C364" s="2" t="s">
        <v>2488</v>
      </c>
      <c r="D364" s="5" t="s">
        <v>2490</v>
      </c>
      <c r="E364" s="4" t="s">
        <v>2491</v>
      </c>
      <c r="F364" s="6">
        <v>14277629</v>
      </c>
      <c r="G364" s="3">
        <v>14277629</v>
      </c>
      <c r="H364" s="7">
        <v>733004722288</v>
      </c>
      <c r="I364" s="8" t="s">
        <v>3396</v>
      </c>
      <c r="J364" s="4">
        <v>1</v>
      </c>
      <c r="K364" s="9">
        <v>18.989999999999998</v>
      </c>
      <c r="L364" s="9">
        <v>18.989999999999998</v>
      </c>
      <c r="M364" s="4" t="s">
        <v>3303</v>
      </c>
      <c r="N364" s="4" t="s">
        <v>2505</v>
      </c>
      <c r="O364" s="4" t="s">
        <v>2601</v>
      </c>
      <c r="P364" s="4" t="s">
        <v>2503</v>
      </c>
      <c r="Q364" s="4" t="s">
        <v>2504</v>
      </c>
      <c r="R364" s="4"/>
      <c r="S364" s="4"/>
      <c r="T364" s="4" t="str">
        <f>HYPERLINK("http://slimages.macys.com/is/image/MCY/19978179 ")</f>
        <v xml:space="preserve">http://slimages.macys.com/is/image/MCY/19978179 </v>
      </c>
    </row>
    <row r="365" spans="1:20" ht="15" customHeight="1" x14ac:dyDescent="0.25">
      <c r="A365" s="4" t="s">
        <v>2489</v>
      </c>
      <c r="B365" s="2" t="s">
        <v>2487</v>
      </c>
      <c r="C365" s="2" t="s">
        <v>2488</v>
      </c>
      <c r="D365" s="5" t="s">
        <v>2490</v>
      </c>
      <c r="E365" s="4" t="s">
        <v>2491</v>
      </c>
      <c r="F365" s="6">
        <v>14277629</v>
      </c>
      <c r="G365" s="3">
        <v>14277629</v>
      </c>
      <c r="H365" s="7">
        <v>733004746185</v>
      </c>
      <c r="I365" s="8" t="s">
        <v>2916</v>
      </c>
      <c r="J365" s="4">
        <v>1</v>
      </c>
      <c r="K365" s="9">
        <v>6.99</v>
      </c>
      <c r="L365" s="9">
        <v>6.99</v>
      </c>
      <c r="M365" s="4" t="s">
        <v>2885</v>
      </c>
      <c r="N365" s="4" t="s">
        <v>2505</v>
      </c>
      <c r="O365" s="4" t="s">
        <v>2559</v>
      </c>
      <c r="P365" s="4" t="s">
        <v>2503</v>
      </c>
      <c r="Q365" s="4" t="s">
        <v>2504</v>
      </c>
      <c r="R365" s="4"/>
      <c r="S365" s="4"/>
      <c r="T365" s="4" t="str">
        <f>HYPERLINK("http://slimages.macys.com/is/image/MCY/19977855 ")</f>
        <v xml:space="preserve">http://slimages.macys.com/is/image/MCY/19977855 </v>
      </c>
    </row>
    <row r="366" spans="1:20" ht="15" customHeight="1" x14ac:dyDescent="0.25">
      <c r="A366" s="4" t="s">
        <v>2489</v>
      </c>
      <c r="B366" s="2" t="s">
        <v>2487</v>
      </c>
      <c r="C366" s="2" t="s">
        <v>2488</v>
      </c>
      <c r="D366" s="5" t="s">
        <v>2490</v>
      </c>
      <c r="E366" s="4" t="s">
        <v>2491</v>
      </c>
      <c r="F366" s="6">
        <v>14277629</v>
      </c>
      <c r="G366" s="3">
        <v>14277629</v>
      </c>
      <c r="H366" s="7">
        <v>733004040269</v>
      </c>
      <c r="I366" s="8" t="s">
        <v>1458</v>
      </c>
      <c r="J366" s="4">
        <v>1</v>
      </c>
      <c r="K366" s="9">
        <v>19.989999999999998</v>
      </c>
      <c r="L366" s="9">
        <v>19.989999999999998</v>
      </c>
      <c r="M366" s="4" t="s">
        <v>2865</v>
      </c>
      <c r="N366" s="4" t="s">
        <v>2567</v>
      </c>
      <c r="O366" s="4" t="s">
        <v>2629</v>
      </c>
      <c r="P366" s="4" t="s">
        <v>2602</v>
      </c>
      <c r="Q366" s="4" t="s">
        <v>2528</v>
      </c>
      <c r="R366" s="4"/>
      <c r="S366" s="4"/>
      <c r="T366" s="4" t="str">
        <f>HYPERLINK("http://slimages.macys.com/is/image/MCY/19943805 ")</f>
        <v xml:space="preserve">http://slimages.macys.com/is/image/MCY/19943805 </v>
      </c>
    </row>
    <row r="367" spans="1:20" ht="15" customHeight="1" x14ac:dyDescent="0.25">
      <c r="A367" s="4" t="s">
        <v>2489</v>
      </c>
      <c r="B367" s="2" t="s">
        <v>2487</v>
      </c>
      <c r="C367" s="2" t="s">
        <v>2488</v>
      </c>
      <c r="D367" s="5" t="s">
        <v>2490</v>
      </c>
      <c r="E367" s="4" t="s">
        <v>2491</v>
      </c>
      <c r="F367" s="6">
        <v>14277629</v>
      </c>
      <c r="G367" s="3">
        <v>14277629</v>
      </c>
      <c r="H367" s="7">
        <v>733004722851</v>
      </c>
      <c r="I367" s="8" t="s">
        <v>1459</v>
      </c>
      <c r="J367" s="4">
        <v>1</v>
      </c>
      <c r="K367" s="9">
        <v>28.99</v>
      </c>
      <c r="L367" s="9">
        <v>28.99</v>
      </c>
      <c r="M367" s="4" t="s">
        <v>3201</v>
      </c>
      <c r="N367" s="4" t="s">
        <v>2531</v>
      </c>
      <c r="O367" s="4" t="s">
        <v>2566</v>
      </c>
      <c r="P367" s="4" t="s">
        <v>2503</v>
      </c>
      <c r="Q367" s="4" t="s">
        <v>2504</v>
      </c>
      <c r="R367" s="4"/>
      <c r="S367" s="4"/>
      <c r="T367" s="4" t="str">
        <f>HYPERLINK("http://slimages.macys.com/is/image/MCY/19977928 ")</f>
        <v xml:space="preserve">http://slimages.macys.com/is/image/MCY/19977928 </v>
      </c>
    </row>
    <row r="368" spans="1:20" ht="15" customHeight="1" x14ac:dyDescent="0.25">
      <c r="A368" s="4" t="s">
        <v>2489</v>
      </c>
      <c r="B368" s="2" t="s">
        <v>2487</v>
      </c>
      <c r="C368" s="2" t="s">
        <v>2488</v>
      </c>
      <c r="D368" s="5" t="s">
        <v>2490</v>
      </c>
      <c r="E368" s="4" t="s">
        <v>2491</v>
      </c>
      <c r="F368" s="6">
        <v>14277629</v>
      </c>
      <c r="G368" s="3">
        <v>14277629</v>
      </c>
      <c r="H368" s="7">
        <v>733004722837</v>
      </c>
      <c r="I368" s="8" t="s">
        <v>1460</v>
      </c>
      <c r="J368" s="4">
        <v>1</v>
      </c>
      <c r="K368" s="9">
        <v>28.99</v>
      </c>
      <c r="L368" s="9">
        <v>28.99</v>
      </c>
      <c r="M368" s="4" t="s">
        <v>3201</v>
      </c>
      <c r="N368" s="4" t="s">
        <v>2531</v>
      </c>
      <c r="O368" s="4" t="s">
        <v>2559</v>
      </c>
      <c r="P368" s="4" t="s">
        <v>2503</v>
      </c>
      <c r="Q368" s="4" t="s">
        <v>2504</v>
      </c>
      <c r="R368" s="4"/>
      <c r="S368" s="4"/>
      <c r="T368" s="4" t="str">
        <f>HYPERLINK("http://slimages.macys.com/is/image/MCY/19977928 ")</f>
        <v xml:space="preserve">http://slimages.macys.com/is/image/MCY/19977928 </v>
      </c>
    </row>
    <row r="369" spans="1:20" ht="15" customHeight="1" x14ac:dyDescent="0.25">
      <c r="A369" s="4" t="s">
        <v>2489</v>
      </c>
      <c r="B369" s="2" t="s">
        <v>2487</v>
      </c>
      <c r="C369" s="2" t="s">
        <v>2488</v>
      </c>
      <c r="D369" s="5" t="s">
        <v>2490</v>
      </c>
      <c r="E369" s="4" t="s">
        <v>2491</v>
      </c>
      <c r="F369" s="6">
        <v>14277629</v>
      </c>
      <c r="G369" s="3">
        <v>14277629</v>
      </c>
      <c r="H369" s="7">
        <v>733001050650</v>
      </c>
      <c r="I369" s="8" t="s">
        <v>1461</v>
      </c>
      <c r="J369" s="4">
        <v>2</v>
      </c>
      <c r="K369" s="9">
        <v>8.99</v>
      </c>
      <c r="L369" s="9">
        <v>17.98</v>
      </c>
      <c r="M369" s="4" t="s">
        <v>2674</v>
      </c>
      <c r="N369" s="4" t="s">
        <v>2501</v>
      </c>
      <c r="O369" s="4" t="s">
        <v>2559</v>
      </c>
      <c r="P369" s="4" t="s">
        <v>2503</v>
      </c>
      <c r="Q369" s="4" t="s">
        <v>2504</v>
      </c>
      <c r="R369" s="4"/>
      <c r="S369" s="4"/>
      <c r="T369" s="4" t="str">
        <f>HYPERLINK("http://slimages.macys.com/is/image/MCY/17586312 ")</f>
        <v xml:space="preserve">http://slimages.macys.com/is/image/MCY/17586312 </v>
      </c>
    </row>
    <row r="370" spans="1:20" ht="15" customHeight="1" x14ac:dyDescent="0.25">
      <c r="A370" s="4" t="s">
        <v>2489</v>
      </c>
      <c r="B370" s="2" t="s">
        <v>2487</v>
      </c>
      <c r="C370" s="2" t="s">
        <v>2488</v>
      </c>
      <c r="D370" s="5" t="s">
        <v>2490</v>
      </c>
      <c r="E370" s="4" t="s">
        <v>2491</v>
      </c>
      <c r="F370" s="6">
        <v>14277629</v>
      </c>
      <c r="G370" s="3">
        <v>14277629</v>
      </c>
      <c r="H370" s="7">
        <v>194931228159</v>
      </c>
      <c r="I370" s="8" t="s">
        <v>1462</v>
      </c>
      <c r="J370" s="4">
        <v>1</v>
      </c>
      <c r="K370" s="9">
        <v>34.5</v>
      </c>
      <c r="L370" s="9">
        <v>34.5</v>
      </c>
      <c r="M370" s="4" t="s">
        <v>2016</v>
      </c>
      <c r="N370" s="4" t="s">
        <v>2731</v>
      </c>
      <c r="O370" s="4">
        <v>6</v>
      </c>
      <c r="P370" s="4" t="s">
        <v>2622</v>
      </c>
      <c r="Q370" s="4" t="s">
        <v>3089</v>
      </c>
      <c r="R370" s="4"/>
      <c r="S370" s="4"/>
      <c r="T370" s="4" t="str">
        <f>HYPERLINK("http://slimages.macys.com/is/image/MCY/20536097 ")</f>
        <v xml:space="preserve">http://slimages.macys.com/is/image/MCY/20536097 </v>
      </c>
    </row>
    <row r="371" spans="1:20" ht="15" customHeight="1" x14ac:dyDescent="0.25">
      <c r="A371" s="4" t="s">
        <v>2489</v>
      </c>
      <c r="B371" s="2" t="s">
        <v>2487</v>
      </c>
      <c r="C371" s="2" t="s">
        <v>2488</v>
      </c>
      <c r="D371" s="5" t="s">
        <v>2490</v>
      </c>
      <c r="E371" s="4" t="s">
        <v>2491</v>
      </c>
      <c r="F371" s="6">
        <v>14277629</v>
      </c>
      <c r="G371" s="3">
        <v>14277629</v>
      </c>
      <c r="H371" s="7">
        <v>193666722918</v>
      </c>
      <c r="I371" s="8" t="s">
        <v>1463</v>
      </c>
      <c r="J371" s="4">
        <v>1</v>
      </c>
      <c r="K371" s="9">
        <v>14.99</v>
      </c>
      <c r="L371" s="9">
        <v>14.99</v>
      </c>
      <c r="M371" s="4" t="s">
        <v>3043</v>
      </c>
      <c r="N371" s="4" t="s">
        <v>2561</v>
      </c>
      <c r="O371" s="4" t="s">
        <v>2519</v>
      </c>
      <c r="P371" s="4" t="s">
        <v>2666</v>
      </c>
      <c r="Q371" s="4" t="s">
        <v>2775</v>
      </c>
      <c r="R371" s="4"/>
      <c r="S371" s="4"/>
      <c r="T371" s="4" t="str">
        <f>HYPERLINK("http://slimages.macys.com/is/image/MCY/18619090 ")</f>
        <v xml:space="preserve">http://slimages.macys.com/is/image/MCY/18619090 </v>
      </c>
    </row>
    <row r="372" spans="1:20" ht="15" customHeight="1" x14ac:dyDescent="0.25">
      <c r="A372" s="4" t="s">
        <v>2489</v>
      </c>
      <c r="B372" s="2" t="s">
        <v>2487</v>
      </c>
      <c r="C372" s="2" t="s">
        <v>2488</v>
      </c>
      <c r="D372" s="5" t="s">
        <v>2490</v>
      </c>
      <c r="E372" s="4" t="s">
        <v>2491</v>
      </c>
      <c r="F372" s="6">
        <v>14277629</v>
      </c>
      <c r="G372" s="3">
        <v>14277629</v>
      </c>
      <c r="H372" s="7">
        <v>193666722864</v>
      </c>
      <c r="I372" s="8" t="s">
        <v>3305</v>
      </c>
      <c r="J372" s="4">
        <v>2</v>
      </c>
      <c r="K372" s="9">
        <v>14.99</v>
      </c>
      <c r="L372" s="9">
        <v>29.98</v>
      </c>
      <c r="M372" s="4" t="s">
        <v>3043</v>
      </c>
      <c r="N372" s="4" t="s">
        <v>2561</v>
      </c>
      <c r="O372" s="4" t="s">
        <v>2555</v>
      </c>
      <c r="P372" s="4" t="s">
        <v>2666</v>
      </c>
      <c r="Q372" s="4" t="s">
        <v>2775</v>
      </c>
      <c r="R372" s="4"/>
      <c r="S372" s="4"/>
      <c r="T372" s="4" t="str">
        <f>HYPERLINK("http://slimages.macys.com/is/image/MCY/18619090 ")</f>
        <v xml:space="preserve">http://slimages.macys.com/is/image/MCY/18619090 </v>
      </c>
    </row>
    <row r="373" spans="1:20" ht="15" customHeight="1" x14ac:dyDescent="0.25">
      <c r="A373" s="4" t="s">
        <v>2489</v>
      </c>
      <c r="B373" s="2" t="s">
        <v>2487</v>
      </c>
      <c r="C373" s="2" t="s">
        <v>2488</v>
      </c>
      <c r="D373" s="5" t="s">
        <v>2490</v>
      </c>
      <c r="E373" s="4" t="s">
        <v>2491</v>
      </c>
      <c r="F373" s="6">
        <v>14277629</v>
      </c>
      <c r="G373" s="3">
        <v>14277629</v>
      </c>
      <c r="H373" s="7">
        <v>193666806328</v>
      </c>
      <c r="I373" s="8" t="s">
        <v>1821</v>
      </c>
      <c r="J373" s="4">
        <v>1</v>
      </c>
      <c r="K373" s="9">
        <v>14.99</v>
      </c>
      <c r="L373" s="9">
        <v>14.99</v>
      </c>
      <c r="M373" s="4">
        <v>6131</v>
      </c>
      <c r="N373" s="4" t="s">
        <v>2665</v>
      </c>
      <c r="O373" s="4" t="s">
        <v>2671</v>
      </c>
      <c r="P373" s="4" t="s">
        <v>2666</v>
      </c>
      <c r="Q373" s="4" t="s">
        <v>2775</v>
      </c>
      <c r="R373" s="4"/>
      <c r="S373" s="4"/>
      <c r="T373" s="4"/>
    </row>
    <row r="374" spans="1:20" ht="15" customHeight="1" x14ac:dyDescent="0.25">
      <c r="A374" s="4" t="s">
        <v>2489</v>
      </c>
      <c r="B374" s="2" t="s">
        <v>2487</v>
      </c>
      <c r="C374" s="2" t="s">
        <v>2488</v>
      </c>
      <c r="D374" s="5" t="s">
        <v>2490</v>
      </c>
      <c r="E374" s="4" t="s">
        <v>2491</v>
      </c>
      <c r="F374" s="6">
        <v>14277629</v>
      </c>
      <c r="G374" s="3">
        <v>14277629</v>
      </c>
      <c r="H374" s="7">
        <v>193666806304</v>
      </c>
      <c r="I374" s="8" t="s">
        <v>1821</v>
      </c>
      <c r="J374" s="4">
        <v>2</v>
      </c>
      <c r="K374" s="9">
        <v>14.99</v>
      </c>
      <c r="L374" s="9">
        <v>29.98</v>
      </c>
      <c r="M374" s="4">
        <v>6131</v>
      </c>
      <c r="N374" s="4" t="s">
        <v>2665</v>
      </c>
      <c r="O374" s="4" t="s">
        <v>2555</v>
      </c>
      <c r="P374" s="4" t="s">
        <v>2666</v>
      </c>
      <c r="Q374" s="4" t="s">
        <v>2775</v>
      </c>
      <c r="R374" s="4"/>
      <c r="S374" s="4"/>
      <c r="T374" s="4"/>
    </row>
    <row r="375" spans="1:20" ht="15" customHeight="1" x14ac:dyDescent="0.25">
      <c r="A375" s="4" t="s">
        <v>2489</v>
      </c>
      <c r="B375" s="2" t="s">
        <v>2487</v>
      </c>
      <c r="C375" s="2" t="s">
        <v>2488</v>
      </c>
      <c r="D375" s="5" t="s">
        <v>2490</v>
      </c>
      <c r="E375" s="4" t="s">
        <v>2491</v>
      </c>
      <c r="F375" s="6">
        <v>14277629</v>
      </c>
      <c r="G375" s="3">
        <v>14277629</v>
      </c>
      <c r="H375" s="7">
        <v>194257511409</v>
      </c>
      <c r="I375" s="8" t="s">
        <v>1464</v>
      </c>
      <c r="J375" s="4">
        <v>1</v>
      </c>
      <c r="K375" s="9">
        <v>7.25</v>
      </c>
      <c r="L375" s="9">
        <v>7.25</v>
      </c>
      <c r="M375" s="4" t="s">
        <v>3260</v>
      </c>
      <c r="N375" s="4" t="s">
        <v>2497</v>
      </c>
      <c r="O375" s="4">
        <v>5</v>
      </c>
      <c r="P375" s="4" t="s">
        <v>2619</v>
      </c>
      <c r="Q375" s="4" t="s">
        <v>2654</v>
      </c>
      <c r="R375" s="4"/>
      <c r="S375" s="4"/>
      <c r="T375" s="4" t="str">
        <f>HYPERLINK("http://slimages.macys.com/is/image/MCY/19513595 ")</f>
        <v xml:space="preserve">http://slimages.macys.com/is/image/MCY/19513595 </v>
      </c>
    </row>
    <row r="376" spans="1:20" ht="15" customHeight="1" x14ac:dyDescent="0.25">
      <c r="A376" s="4" t="s">
        <v>2489</v>
      </c>
      <c r="B376" s="2" t="s">
        <v>2487</v>
      </c>
      <c r="C376" s="2" t="s">
        <v>2488</v>
      </c>
      <c r="D376" s="5" t="s">
        <v>2490</v>
      </c>
      <c r="E376" s="4" t="s">
        <v>2491</v>
      </c>
      <c r="F376" s="6">
        <v>14277629</v>
      </c>
      <c r="G376" s="3">
        <v>14277629</v>
      </c>
      <c r="H376" s="7">
        <v>46094542088</v>
      </c>
      <c r="I376" s="8" t="s">
        <v>3363</v>
      </c>
      <c r="J376" s="4">
        <v>5</v>
      </c>
      <c r="K376" s="9">
        <v>11.99</v>
      </c>
      <c r="L376" s="9">
        <v>59.95</v>
      </c>
      <c r="M376" s="4" t="s">
        <v>3185</v>
      </c>
      <c r="N376" s="4" t="s">
        <v>2747</v>
      </c>
      <c r="O376" s="4" t="s">
        <v>2519</v>
      </c>
      <c r="P376" s="4" t="s">
        <v>2666</v>
      </c>
      <c r="Q376" s="4" t="s">
        <v>2667</v>
      </c>
      <c r="R376" s="4" t="s">
        <v>2552</v>
      </c>
      <c r="S376" s="4" t="s">
        <v>3186</v>
      </c>
      <c r="T376" s="4" t="str">
        <f>HYPERLINK("http://slimages.macys.com/is/image/MCY/2568960 ")</f>
        <v xml:space="preserve">http://slimages.macys.com/is/image/MCY/2568960 </v>
      </c>
    </row>
    <row r="377" spans="1:20" ht="15" customHeight="1" x14ac:dyDescent="0.25">
      <c r="A377" s="4" t="s">
        <v>2489</v>
      </c>
      <c r="B377" s="2" t="s">
        <v>2487</v>
      </c>
      <c r="C377" s="2" t="s">
        <v>2488</v>
      </c>
      <c r="D377" s="5" t="s">
        <v>2490</v>
      </c>
      <c r="E377" s="4" t="s">
        <v>2491</v>
      </c>
      <c r="F377" s="6">
        <v>14277629</v>
      </c>
      <c r="G377" s="3">
        <v>14277629</v>
      </c>
      <c r="H377" s="7">
        <v>46094700433</v>
      </c>
      <c r="I377" s="8" t="s">
        <v>3328</v>
      </c>
      <c r="J377" s="4">
        <v>1</v>
      </c>
      <c r="K377" s="9">
        <v>4.99</v>
      </c>
      <c r="L377" s="9">
        <v>4.99</v>
      </c>
      <c r="M377" s="4" t="s">
        <v>3329</v>
      </c>
      <c r="N377" s="4" t="s">
        <v>2514</v>
      </c>
      <c r="O377" s="4" t="s">
        <v>2498</v>
      </c>
      <c r="P377" s="4" t="s">
        <v>2666</v>
      </c>
      <c r="Q377" s="4" t="s">
        <v>2667</v>
      </c>
      <c r="R377" s="4" t="s">
        <v>2552</v>
      </c>
      <c r="S377" s="4" t="s">
        <v>3157</v>
      </c>
      <c r="T377" s="4" t="str">
        <f>HYPERLINK("http://slimages.macys.com/is/image/MCY/9378229 ")</f>
        <v xml:space="preserve">http://slimages.macys.com/is/image/MCY/9378229 </v>
      </c>
    </row>
    <row r="378" spans="1:20" ht="15" customHeight="1" x14ac:dyDescent="0.25">
      <c r="A378" s="4" t="s">
        <v>2489</v>
      </c>
      <c r="B378" s="2" t="s">
        <v>2487</v>
      </c>
      <c r="C378" s="2" t="s">
        <v>2488</v>
      </c>
      <c r="D378" s="5" t="s">
        <v>2490</v>
      </c>
      <c r="E378" s="4" t="s">
        <v>2491</v>
      </c>
      <c r="F378" s="6">
        <v>14277629</v>
      </c>
      <c r="G378" s="3">
        <v>14277629</v>
      </c>
      <c r="H378" s="7">
        <v>193666517255</v>
      </c>
      <c r="I378" s="8" t="s">
        <v>3266</v>
      </c>
      <c r="J378" s="4">
        <v>2</v>
      </c>
      <c r="K378" s="9">
        <v>11.99</v>
      </c>
      <c r="L378" s="9">
        <v>23.98</v>
      </c>
      <c r="M378" s="4">
        <v>4217</v>
      </c>
      <c r="N378" s="4" t="s">
        <v>2762</v>
      </c>
      <c r="O378" s="4" t="s">
        <v>2498</v>
      </c>
      <c r="P378" s="4" t="s">
        <v>2666</v>
      </c>
      <c r="Q378" s="4" t="s">
        <v>2667</v>
      </c>
      <c r="R378" s="4" t="s">
        <v>2552</v>
      </c>
      <c r="S378" s="4" t="s">
        <v>3157</v>
      </c>
      <c r="T378" s="4" t="str">
        <f>HYPERLINK("http://slimages.macys.com/is/image/MCY/13050192 ")</f>
        <v xml:space="preserve">http://slimages.macys.com/is/image/MCY/13050192 </v>
      </c>
    </row>
    <row r="379" spans="1:20" ht="15" customHeight="1" x14ac:dyDescent="0.25">
      <c r="A379" s="4" t="s">
        <v>2489</v>
      </c>
      <c r="B379" s="2" t="s">
        <v>2487</v>
      </c>
      <c r="C379" s="2" t="s">
        <v>2488</v>
      </c>
      <c r="D379" s="5" t="s">
        <v>2490</v>
      </c>
      <c r="E379" s="4" t="s">
        <v>2491</v>
      </c>
      <c r="F379" s="6">
        <v>14277629</v>
      </c>
      <c r="G379" s="3">
        <v>14277629</v>
      </c>
      <c r="H379" s="7">
        <v>193666517279</v>
      </c>
      <c r="I379" s="8" t="s">
        <v>1465</v>
      </c>
      <c r="J379" s="4">
        <v>3</v>
      </c>
      <c r="K379" s="9">
        <v>11.99</v>
      </c>
      <c r="L379" s="9">
        <v>35.97</v>
      </c>
      <c r="M379" s="4">
        <v>4217</v>
      </c>
      <c r="N379" s="4" t="s">
        <v>2762</v>
      </c>
      <c r="O379" s="4" t="s">
        <v>2519</v>
      </c>
      <c r="P379" s="4" t="s">
        <v>2666</v>
      </c>
      <c r="Q379" s="4" t="s">
        <v>2667</v>
      </c>
      <c r="R379" s="4" t="s">
        <v>2552</v>
      </c>
      <c r="S379" s="4" t="s">
        <v>3157</v>
      </c>
      <c r="T379" s="4" t="str">
        <f>HYPERLINK("http://slimages.macys.com/is/image/MCY/13050192 ")</f>
        <v xml:space="preserve">http://slimages.macys.com/is/image/MCY/13050192 </v>
      </c>
    </row>
    <row r="380" spans="1:20" ht="15" customHeight="1" x14ac:dyDescent="0.25">
      <c r="A380" s="4" t="s">
        <v>2489</v>
      </c>
      <c r="B380" s="2" t="s">
        <v>2487</v>
      </c>
      <c r="C380" s="2" t="s">
        <v>2488</v>
      </c>
      <c r="D380" s="5" t="s">
        <v>2490</v>
      </c>
      <c r="E380" s="4" t="s">
        <v>2491</v>
      </c>
      <c r="F380" s="6">
        <v>14277629</v>
      </c>
      <c r="G380" s="3">
        <v>14277629</v>
      </c>
      <c r="H380" s="7">
        <v>193666924923</v>
      </c>
      <c r="I380" s="8" t="s">
        <v>1782</v>
      </c>
      <c r="J380" s="4">
        <v>1</v>
      </c>
      <c r="K380" s="9">
        <v>14.99</v>
      </c>
      <c r="L380" s="9">
        <v>14.99</v>
      </c>
      <c r="M380" s="4">
        <v>4489</v>
      </c>
      <c r="N380" s="4"/>
      <c r="O380" s="4" t="s">
        <v>2519</v>
      </c>
      <c r="P380" s="4" t="s">
        <v>2666</v>
      </c>
      <c r="Q380" s="4" t="s">
        <v>2667</v>
      </c>
      <c r="R380" s="4"/>
      <c r="S380" s="4"/>
      <c r="T380" s="4" t="str">
        <f>HYPERLINK("http://slimages.macys.com/is/image/MCY/19348139 ")</f>
        <v xml:space="preserve">http://slimages.macys.com/is/image/MCY/19348139 </v>
      </c>
    </row>
    <row r="381" spans="1:20" ht="15" customHeight="1" x14ac:dyDescent="0.25">
      <c r="A381" s="4" t="s">
        <v>2489</v>
      </c>
      <c r="B381" s="2" t="s">
        <v>2487</v>
      </c>
      <c r="C381" s="2" t="s">
        <v>2488</v>
      </c>
      <c r="D381" s="5" t="s">
        <v>2490</v>
      </c>
      <c r="E381" s="4" t="s">
        <v>2491</v>
      </c>
      <c r="F381" s="6">
        <v>14277629</v>
      </c>
      <c r="G381" s="3">
        <v>14277629</v>
      </c>
      <c r="H381" s="7">
        <v>193666722932</v>
      </c>
      <c r="I381" s="8" t="s">
        <v>1466</v>
      </c>
      <c r="J381" s="4">
        <v>1</v>
      </c>
      <c r="K381" s="9">
        <v>14.99</v>
      </c>
      <c r="L381" s="9">
        <v>14.99</v>
      </c>
      <c r="M381" s="4" t="s">
        <v>3043</v>
      </c>
      <c r="N381" s="4" t="s">
        <v>2548</v>
      </c>
      <c r="O381" s="4" t="s">
        <v>2671</v>
      </c>
      <c r="P381" s="4" t="s">
        <v>2666</v>
      </c>
      <c r="Q381" s="4" t="s">
        <v>2775</v>
      </c>
      <c r="R381" s="4"/>
      <c r="S381" s="4"/>
      <c r="T381" s="4" t="str">
        <f>HYPERLINK("http://slimages.macys.com/is/image/MCY/18619090 ")</f>
        <v xml:space="preserve">http://slimages.macys.com/is/image/MCY/18619090 </v>
      </c>
    </row>
    <row r="382" spans="1:20" ht="15" customHeight="1" x14ac:dyDescent="0.25">
      <c r="A382" s="4" t="s">
        <v>2489</v>
      </c>
      <c r="B382" s="2" t="s">
        <v>2487</v>
      </c>
      <c r="C382" s="2" t="s">
        <v>2488</v>
      </c>
      <c r="D382" s="5" t="s">
        <v>2490</v>
      </c>
      <c r="E382" s="4" t="s">
        <v>2491</v>
      </c>
      <c r="F382" s="6">
        <v>14277629</v>
      </c>
      <c r="G382" s="3">
        <v>14277629</v>
      </c>
      <c r="H382" s="7">
        <v>193666517880</v>
      </c>
      <c r="I382" s="8" t="s">
        <v>3290</v>
      </c>
      <c r="J382" s="4">
        <v>2</v>
      </c>
      <c r="K382" s="9">
        <v>4.99</v>
      </c>
      <c r="L382" s="9">
        <v>9.98</v>
      </c>
      <c r="M382" s="4">
        <v>4114</v>
      </c>
      <c r="N382" s="4" t="s">
        <v>2762</v>
      </c>
      <c r="O382" s="4" t="s">
        <v>2555</v>
      </c>
      <c r="P382" s="4" t="s">
        <v>2666</v>
      </c>
      <c r="Q382" s="4" t="s">
        <v>2667</v>
      </c>
      <c r="R382" s="4" t="s">
        <v>2552</v>
      </c>
      <c r="S382" s="4" t="s">
        <v>3157</v>
      </c>
      <c r="T382" s="4" t="str">
        <f>HYPERLINK("http://slimages.macys.com/is/image/MCY/13050267 ")</f>
        <v xml:space="preserve">http://slimages.macys.com/is/image/MCY/13050267 </v>
      </c>
    </row>
    <row r="383" spans="1:20" ht="15" customHeight="1" x14ac:dyDescent="0.25">
      <c r="A383" s="4" t="s">
        <v>2489</v>
      </c>
      <c r="B383" s="2" t="s">
        <v>2487</v>
      </c>
      <c r="C383" s="2" t="s">
        <v>2488</v>
      </c>
      <c r="D383" s="5" t="s">
        <v>2490</v>
      </c>
      <c r="E383" s="4" t="s">
        <v>2491</v>
      </c>
      <c r="F383" s="6">
        <v>14277629</v>
      </c>
      <c r="G383" s="3">
        <v>14277629</v>
      </c>
      <c r="H383" s="7">
        <v>194257505606</v>
      </c>
      <c r="I383" s="8" t="s">
        <v>1467</v>
      </c>
      <c r="J383" s="4">
        <v>1</v>
      </c>
      <c r="K383" s="9">
        <v>8.25</v>
      </c>
      <c r="L383" s="9">
        <v>8.25</v>
      </c>
      <c r="M383" s="4" t="s">
        <v>2652</v>
      </c>
      <c r="N383" s="4" t="s">
        <v>2514</v>
      </c>
      <c r="O383" s="4" t="s">
        <v>2705</v>
      </c>
      <c r="P383" s="4" t="s">
        <v>2619</v>
      </c>
      <c r="Q383" s="4" t="s">
        <v>2654</v>
      </c>
      <c r="R383" s="4"/>
      <c r="S383" s="4"/>
      <c r="T383" s="4" t="str">
        <f>HYPERLINK("http://slimages.macys.com/is/image/MCY/19902276 ")</f>
        <v xml:space="preserve">http://slimages.macys.com/is/image/MCY/19902276 </v>
      </c>
    </row>
    <row r="384" spans="1:20" ht="15" customHeight="1" x14ac:dyDescent="0.25">
      <c r="A384" s="4" t="s">
        <v>2489</v>
      </c>
      <c r="B384" s="2" t="s">
        <v>2487</v>
      </c>
      <c r="C384" s="2" t="s">
        <v>2488</v>
      </c>
      <c r="D384" s="5" t="s">
        <v>2490</v>
      </c>
      <c r="E384" s="4" t="s">
        <v>2491</v>
      </c>
      <c r="F384" s="6">
        <v>14277629</v>
      </c>
      <c r="G384" s="3">
        <v>14277629</v>
      </c>
      <c r="H384" s="7">
        <v>195883273730</v>
      </c>
      <c r="I384" s="8" t="s">
        <v>1468</v>
      </c>
      <c r="J384" s="4">
        <v>1</v>
      </c>
      <c r="K384" s="9">
        <v>10.99</v>
      </c>
      <c r="L384" s="9">
        <v>10.99</v>
      </c>
      <c r="M384" s="4" t="s">
        <v>1469</v>
      </c>
      <c r="N384" s="4" t="s">
        <v>2501</v>
      </c>
      <c r="O384" s="4" t="s">
        <v>2524</v>
      </c>
      <c r="P384" s="4" t="s">
        <v>2536</v>
      </c>
      <c r="Q384" s="4" t="s">
        <v>2944</v>
      </c>
      <c r="R384" s="4"/>
      <c r="S384" s="4"/>
      <c r="T384" s="4" t="str">
        <f>HYPERLINK("http://slimages.macys.com/is/image/MCY/19856677 ")</f>
        <v xml:space="preserve">http://slimages.macys.com/is/image/MCY/19856677 </v>
      </c>
    </row>
    <row r="385" spans="1:20" ht="15" customHeight="1" x14ac:dyDescent="0.25">
      <c r="A385" s="4" t="s">
        <v>2489</v>
      </c>
      <c r="B385" s="2" t="s">
        <v>2487</v>
      </c>
      <c r="C385" s="2" t="s">
        <v>2488</v>
      </c>
      <c r="D385" s="5" t="s">
        <v>2490</v>
      </c>
      <c r="E385" s="4" t="s">
        <v>2491</v>
      </c>
      <c r="F385" s="6">
        <v>14277629</v>
      </c>
      <c r="G385" s="3">
        <v>14277629</v>
      </c>
      <c r="H385" s="7">
        <v>193666517903</v>
      </c>
      <c r="I385" s="8" t="s">
        <v>3362</v>
      </c>
      <c r="J385" s="4">
        <v>1</v>
      </c>
      <c r="K385" s="9">
        <v>4.99</v>
      </c>
      <c r="L385" s="9">
        <v>4.99</v>
      </c>
      <c r="M385" s="4">
        <v>4114</v>
      </c>
      <c r="N385" s="4" t="s">
        <v>2762</v>
      </c>
      <c r="O385" s="4" t="s">
        <v>2671</v>
      </c>
      <c r="P385" s="4" t="s">
        <v>2666</v>
      </c>
      <c r="Q385" s="4" t="s">
        <v>2667</v>
      </c>
      <c r="R385" s="4" t="s">
        <v>2552</v>
      </c>
      <c r="S385" s="4" t="s">
        <v>3157</v>
      </c>
      <c r="T385" s="4" t="str">
        <f>HYPERLINK("http://slimages.macys.com/is/image/MCY/13050267 ")</f>
        <v xml:space="preserve">http://slimages.macys.com/is/image/MCY/13050267 </v>
      </c>
    </row>
    <row r="386" spans="1:20" ht="15" customHeight="1" x14ac:dyDescent="0.25">
      <c r="A386" s="4" t="s">
        <v>2489</v>
      </c>
      <c r="B386" s="2" t="s">
        <v>2487</v>
      </c>
      <c r="C386" s="2" t="s">
        <v>2488</v>
      </c>
      <c r="D386" s="5" t="s">
        <v>2490</v>
      </c>
      <c r="E386" s="4" t="s">
        <v>2491</v>
      </c>
      <c r="F386" s="6">
        <v>14277629</v>
      </c>
      <c r="G386" s="3">
        <v>14277629</v>
      </c>
      <c r="H386" s="7">
        <v>733003926892</v>
      </c>
      <c r="I386" s="8" t="s">
        <v>1470</v>
      </c>
      <c r="J386" s="4">
        <v>3</v>
      </c>
      <c r="K386" s="9">
        <v>5.99</v>
      </c>
      <c r="L386" s="9">
        <v>17.97</v>
      </c>
      <c r="M386" s="4" t="s">
        <v>1227</v>
      </c>
      <c r="N386" s="4" t="s">
        <v>2682</v>
      </c>
      <c r="O386" s="4" t="s">
        <v>2566</v>
      </c>
      <c r="P386" s="4" t="s">
        <v>2503</v>
      </c>
      <c r="Q386" s="4" t="s">
        <v>2504</v>
      </c>
      <c r="R386" s="4"/>
      <c r="S386" s="4"/>
      <c r="T386" s="4" t="str">
        <f>HYPERLINK("http://slimages.macys.com/is/image/MCY/903950 ")</f>
        <v xml:space="preserve">http://slimages.macys.com/is/image/MCY/903950 </v>
      </c>
    </row>
    <row r="387" spans="1:20" ht="15" customHeight="1" x14ac:dyDescent="0.25">
      <c r="A387" s="4" t="s">
        <v>2489</v>
      </c>
      <c r="B387" s="2" t="s">
        <v>2487</v>
      </c>
      <c r="C387" s="2" t="s">
        <v>2488</v>
      </c>
      <c r="D387" s="5" t="s">
        <v>2490</v>
      </c>
      <c r="E387" s="4" t="s">
        <v>2491</v>
      </c>
      <c r="F387" s="6">
        <v>14277629</v>
      </c>
      <c r="G387" s="3">
        <v>14277629</v>
      </c>
      <c r="H387" s="7">
        <v>696114426296</v>
      </c>
      <c r="I387" s="8" t="s">
        <v>1471</v>
      </c>
      <c r="J387" s="4">
        <v>1</v>
      </c>
      <c r="K387" s="9">
        <v>19.989999999999998</v>
      </c>
      <c r="L387" s="9">
        <v>19.989999999999998</v>
      </c>
      <c r="M387" s="4" t="s">
        <v>1472</v>
      </c>
      <c r="N387" s="4" t="s">
        <v>2523</v>
      </c>
      <c r="O387" s="4"/>
      <c r="P387" s="4" t="s">
        <v>2569</v>
      </c>
      <c r="Q387" s="4" t="s">
        <v>2732</v>
      </c>
      <c r="R387" s="4"/>
      <c r="S387" s="4"/>
      <c r="T387" s="4" t="str">
        <f>HYPERLINK("http://slimages.macys.com/is/image/MCY/20291055 ")</f>
        <v xml:space="preserve">http://slimages.macys.com/is/image/MCY/20291055 </v>
      </c>
    </row>
    <row r="388" spans="1:20" ht="15" customHeight="1" x14ac:dyDescent="0.25">
      <c r="A388" s="4" t="s">
        <v>2489</v>
      </c>
      <c r="B388" s="2" t="s">
        <v>2487</v>
      </c>
      <c r="C388" s="2" t="s">
        <v>2488</v>
      </c>
      <c r="D388" s="5" t="s">
        <v>2490</v>
      </c>
      <c r="E388" s="4" t="s">
        <v>2491</v>
      </c>
      <c r="F388" s="6">
        <v>14277629</v>
      </c>
      <c r="G388" s="3">
        <v>14277629</v>
      </c>
      <c r="H388" s="7">
        <v>195958251960</v>
      </c>
      <c r="I388" s="8" t="s">
        <v>1473</v>
      </c>
      <c r="J388" s="4">
        <v>4</v>
      </c>
      <c r="K388" s="9">
        <v>44.5</v>
      </c>
      <c r="L388" s="9">
        <v>178</v>
      </c>
      <c r="M388" s="4" t="s">
        <v>1474</v>
      </c>
      <c r="N388" s="4" t="s">
        <v>2638</v>
      </c>
      <c r="O388" s="4"/>
      <c r="P388" s="4" t="s">
        <v>2985</v>
      </c>
      <c r="Q388" s="4" t="s">
        <v>2715</v>
      </c>
      <c r="R388" s="4"/>
      <c r="S388" s="4"/>
      <c r="T388" s="4" t="str">
        <f>HYPERLINK("http://slimages.macys.com/is/image/MCY/20675505 ")</f>
        <v xml:space="preserve">http://slimages.macys.com/is/image/MCY/20675505 </v>
      </c>
    </row>
    <row r="389" spans="1:20" ht="15" customHeight="1" x14ac:dyDescent="0.25">
      <c r="A389" s="4" t="s">
        <v>2489</v>
      </c>
      <c r="B389" s="2" t="s">
        <v>2487</v>
      </c>
      <c r="C389" s="2" t="s">
        <v>2488</v>
      </c>
      <c r="D389" s="5" t="s">
        <v>2490</v>
      </c>
      <c r="E389" s="4" t="s">
        <v>2491</v>
      </c>
      <c r="F389" s="6">
        <v>14277629</v>
      </c>
      <c r="G389" s="3">
        <v>14277629</v>
      </c>
      <c r="H389" s="7">
        <v>194753355804</v>
      </c>
      <c r="I389" s="8" t="s">
        <v>1475</v>
      </c>
      <c r="J389" s="4">
        <v>9</v>
      </c>
      <c r="K389" s="9">
        <v>49.5</v>
      </c>
      <c r="L389" s="9">
        <v>445.5</v>
      </c>
      <c r="M389" s="4" t="s">
        <v>2992</v>
      </c>
      <c r="N389" s="4" t="s">
        <v>2614</v>
      </c>
      <c r="O389" s="4"/>
      <c r="P389" s="4" t="s">
        <v>2985</v>
      </c>
      <c r="Q389" s="4" t="s">
        <v>2715</v>
      </c>
      <c r="R389" s="4"/>
      <c r="S389" s="4"/>
      <c r="T389" s="4" t="str">
        <f>HYPERLINK("http://slimages.macys.com/is/image/MCY/20349569 ")</f>
        <v xml:space="preserve">http://slimages.macys.com/is/image/MCY/20349569 </v>
      </c>
    </row>
    <row r="390" spans="1:20" ht="15" customHeight="1" x14ac:dyDescent="0.25">
      <c r="A390" s="4" t="s">
        <v>2489</v>
      </c>
      <c r="B390" s="2" t="s">
        <v>2487</v>
      </c>
      <c r="C390" s="2" t="s">
        <v>2488</v>
      </c>
      <c r="D390" s="5" t="s">
        <v>2490</v>
      </c>
      <c r="E390" s="4" t="s">
        <v>2491</v>
      </c>
      <c r="F390" s="6">
        <v>14277629</v>
      </c>
      <c r="G390" s="3">
        <v>14277629</v>
      </c>
      <c r="H390" s="7">
        <v>733004779886</v>
      </c>
      <c r="I390" s="8" t="s">
        <v>1476</v>
      </c>
      <c r="J390" s="4">
        <v>1</v>
      </c>
      <c r="K390" s="9">
        <v>11.99</v>
      </c>
      <c r="L390" s="9">
        <v>11.99</v>
      </c>
      <c r="M390" s="4" t="s">
        <v>2080</v>
      </c>
      <c r="N390" s="4" t="s">
        <v>2561</v>
      </c>
      <c r="O390" s="4" t="s">
        <v>2653</v>
      </c>
      <c r="P390" s="4" t="s">
        <v>2602</v>
      </c>
      <c r="Q390" s="4" t="s">
        <v>2528</v>
      </c>
      <c r="R390" s="4"/>
      <c r="S390" s="4"/>
      <c r="T390" s="4" t="str">
        <f>HYPERLINK("http://slimages.macys.com/is/image/MCY/20450160 ")</f>
        <v xml:space="preserve">http://slimages.macys.com/is/image/MCY/20450160 </v>
      </c>
    </row>
    <row r="391" spans="1:20" ht="15" customHeight="1" x14ac:dyDescent="0.25">
      <c r="A391" s="4" t="s">
        <v>2489</v>
      </c>
      <c r="B391" s="2" t="s">
        <v>2487</v>
      </c>
      <c r="C391" s="2" t="s">
        <v>2488</v>
      </c>
      <c r="D391" s="5" t="s">
        <v>2490</v>
      </c>
      <c r="E391" s="4" t="s">
        <v>2491</v>
      </c>
      <c r="F391" s="6">
        <v>14277629</v>
      </c>
      <c r="G391" s="3">
        <v>14277629</v>
      </c>
      <c r="H391" s="7">
        <v>733002920402</v>
      </c>
      <c r="I391" s="8" t="s">
        <v>1477</v>
      </c>
      <c r="J391" s="4">
        <v>1</v>
      </c>
      <c r="K391" s="9">
        <v>7.99</v>
      </c>
      <c r="L391" s="9">
        <v>7.99</v>
      </c>
      <c r="M391" s="4" t="s">
        <v>1478</v>
      </c>
      <c r="N391" s="4" t="s">
        <v>2523</v>
      </c>
      <c r="O391" s="4" t="s">
        <v>2628</v>
      </c>
      <c r="P391" s="4" t="s">
        <v>2602</v>
      </c>
      <c r="Q391" s="4" t="s">
        <v>2528</v>
      </c>
      <c r="R391" s="4"/>
      <c r="S391" s="4"/>
      <c r="T391" s="4" t="str">
        <f>HYPERLINK("http://slimages.macys.com/is/image/MCY/19263696 ")</f>
        <v xml:space="preserve">http://slimages.macys.com/is/image/MCY/19263696 </v>
      </c>
    </row>
    <row r="392" spans="1:20" ht="15" customHeight="1" x14ac:dyDescent="0.25">
      <c r="A392" s="4" t="s">
        <v>2489</v>
      </c>
      <c r="B392" s="2" t="s">
        <v>2487</v>
      </c>
      <c r="C392" s="2" t="s">
        <v>2488</v>
      </c>
      <c r="D392" s="5" t="s">
        <v>2490</v>
      </c>
      <c r="E392" s="4" t="s">
        <v>2491</v>
      </c>
      <c r="F392" s="6">
        <v>14277629</v>
      </c>
      <c r="G392" s="3">
        <v>14277629</v>
      </c>
      <c r="H392" s="7">
        <v>733004291036</v>
      </c>
      <c r="I392" s="8" t="s">
        <v>1479</v>
      </c>
      <c r="J392" s="4">
        <v>1</v>
      </c>
      <c r="K392" s="9">
        <v>7.99</v>
      </c>
      <c r="L392" s="9">
        <v>7.99</v>
      </c>
      <c r="M392" s="4" t="s">
        <v>1190</v>
      </c>
      <c r="N392" s="4" t="s">
        <v>2665</v>
      </c>
      <c r="O392" s="4" t="s">
        <v>2629</v>
      </c>
      <c r="P392" s="4" t="s">
        <v>2503</v>
      </c>
      <c r="Q392" s="4" t="s">
        <v>2504</v>
      </c>
      <c r="R392" s="4"/>
      <c r="S392" s="4"/>
      <c r="T392" s="4" t="str">
        <f>HYPERLINK("http://slimages.macys.com/is/image/MCY/19746550 ")</f>
        <v xml:space="preserve">http://slimages.macys.com/is/image/MCY/19746550 </v>
      </c>
    </row>
    <row r="393" spans="1:20" ht="15" customHeight="1" x14ac:dyDescent="0.25">
      <c r="A393" s="4" t="s">
        <v>2489</v>
      </c>
      <c r="B393" s="2" t="s">
        <v>2487</v>
      </c>
      <c r="C393" s="2" t="s">
        <v>2488</v>
      </c>
      <c r="D393" s="5" t="s">
        <v>2490</v>
      </c>
      <c r="E393" s="4" t="s">
        <v>2491</v>
      </c>
      <c r="F393" s="6">
        <v>14277629</v>
      </c>
      <c r="G393" s="3">
        <v>14277629</v>
      </c>
      <c r="H393" s="7">
        <v>733004780233</v>
      </c>
      <c r="I393" s="8" t="s">
        <v>2031</v>
      </c>
      <c r="J393" s="4">
        <v>1</v>
      </c>
      <c r="K393" s="9">
        <v>7.99</v>
      </c>
      <c r="L393" s="9">
        <v>7.99</v>
      </c>
      <c r="M393" s="4" t="s">
        <v>2690</v>
      </c>
      <c r="N393" s="4" t="s">
        <v>2638</v>
      </c>
      <c r="O393" s="4">
        <v>5</v>
      </c>
      <c r="P393" s="4" t="s">
        <v>2602</v>
      </c>
      <c r="Q393" s="4" t="s">
        <v>2528</v>
      </c>
      <c r="R393" s="4"/>
      <c r="S393" s="4"/>
      <c r="T393" s="4" t="str">
        <f>HYPERLINK("http://slimages.macys.com/is/image/MCY/20450170 ")</f>
        <v xml:space="preserve">http://slimages.macys.com/is/image/MCY/20450170 </v>
      </c>
    </row>
    <row r="394" spans="1:20" ht="15" customHeight="1" x14ac:dyDescent="0.25">
      <c r="A394" s="4" t="s">
        <v>2489</v>
      </c>
      <c r="B394" s="2" t="s">
        <v>2487</v>
      </c>
      <c r="C394" s="2" t="s">
        <v>2488</v>
      </c>
      <c r="D394" s="5" t="s">
        <v>2490</v>
      </c>
      <c r="E394" s="4" t="s">
        <v>2491</v>
      </c>
      <c r="F394" s="6">
        <v>14277629</v>
      </c>
      <c r="G394" s="3">
        <v>14277629</v>
      </c>
      <c r="H394" s="7">
        <v>193579317157</v>
      </c>
      <c r="I394" s="8" t="s">
        <v>1480</v>
      </c>
      <c r="J394" s="4">
        <v>1</v>
      </c>
      <c r="K394" s="9">
        <v>14.99</v>
      </c>
      <c r="L394" s="9">
        <v>14.99</v>
      </c>
      <c r="M394" s="4" t="s">
        <v>1238</v>
      </c>
      <c r="N394" s="4" t="s">
        <v>2501</v>
      </c>
      <c r="O394" s="4"/>
      <c r="P394" s="4" t="s">
        <v>2666</v>
      </c>
      <c r="Q394" s="4" t="s">
        <v>2814</v>
      </c>
      <c r="R394" s="4" t="s">
        <v>2552</v>
      </c>
      <c r="S394" s="4" t="s">
        <v>2834</v>
      </c>
      <c r="T394" s="4" t="str">
        <f>HYPERLINK("http://slimages.macys.com/is/image/MCY/14890517 ")</f>
        <v xml:space="preserve">http://slimages.macys.com/is/image/MCY/14890517 </v>
      </c>
    </row>
    <row r="395" spans="1:20" ht="15" customHeight="1" x14ac:dyDescent="0.25">
      <c r="A395" s="4" t="s">
        <v>2489</v>
      </c>
      <c r="B395" s="2" t="s">
        <v>2487</v>
      </c>
      <c r="C395" s="2" t="s">
        <v>2488</v>
      </c>
      <c r="D395" s="5" t="s">
        <v>2490</v>
      </c>
      <c r="E395" s="4" t="s">
        <v>2491</v>
      </c>
      <c r="F395" s="6">
        <v>14277629</v>
      </c>
      <c r="G395" s="3">
        <v>14277629</v>
      </c>
      <c r="H395" s="7">
        <v>762120087421</v>
      </c>
      <c r="I395" s="8" t="s">
        <v>3122</v>
      </c>
      <c r="J395" s="4">
        <v>1</v>
      </c>
      <c r="K395" s="9">
        <v>7.99</v>
      </c>
      <c r="L395" s="9">
        <v>7.99</v>
      </c>
      <c r="M395" s="4" t="s">
        <v>1801</v>
      </c>
      <c r="N395" s="4" t="s">
        <v>2501</v>
      </c>
      <c r="O395" s="4" t="s">
        <v>2650</v>
      </c>
      <c r="P395" s="4" t="s">
        <v>2602</v>
      </c>
      <c r="Q395" s="4" t="s">
        <v>2528</v>
      </c>
      <c r="R395" s="4"/>
      <c r="S395" s="4"/>
      <c r="T395" s="4" t="str">
        <f>HYPERLINK("http://slimages.macys.com/is/image/MCY/20691901 ")</f>
        <v xml:space="preserve">http://slimages.macys.com/is/image/MCY/20691901 </v>
      </c>
    </row>
    <row r="396" spans="1:20" ht="15" customHeight="1" x14ac:dyDescent="0.25">
      <c r="A396" s="4" t="s">
        <v>2489</v>
      </c>
      <c r="B396" s="2" t="s">
        <v>2487</v>
      </c>
      <c r="C396" s="2" t="s">
        <v>2488</v>
      </c>
      <c r="D396" s="5" t="s">
        <v>2490</v>
      </c>
      <c r="E396" s="4" t="s">
        <v>2491</v>
      </c>
      <c r="F396" s="6">
        <v>14277629</v>
      </c>
      <c r="G396" s="3">
        <v>14277629</v>
      </c>
      <c r="H396" s="7">
        <v>762120113373</v>
      </c>
      <c r="I396" s="8" t="s">
        <v>1481</v>
      </c>
      <c r="J396" s="4">
        <v>1</v>
      </c>
      <c r="K396" s="9">
        <v>5.99</v>
      </c>
      <c r="L396" s="9">
        <v>5.99</v>
      </c>
      <c r="M396" s="4" t="s">
        <v>1482</v>
      </c>
      <c r="N396" s="4" t="s">
        <v>2518</v>
      </c>
      <c r="O396" s="4" t="s">
        <v>2566</v>
      </c>
      <c r="P396" s="4" t="s">
        <v>2503</v>
      </c>
      <c r="Q396" s="4" t="s">
        <v>2504</v>
      </c>
      <c r="R396" s="4"/>
      <c r="S396" s="4"/>
      <c r="T396" s="4" t="str">
        <f>HYPERLINK("http://slimages.macys.com/is/image/MCY/19977782 ")</f>
        <v xml:space="preserve">http://slimages.macys.com/is/image/MCY/19977782 </v>
      </c>
    </row>
    <row r="397" spans="1:20" ht="15" customHeight="1" x14ac:dyDescent="0.25">
      <c r="A397" s="4" t="s">
        <v>2489</v>
      </c>
      <c r="B397" s="2" t="s">
        <v>2487</v>
      </c>
      <c r="C397" s="2" t="s">
        <v>2488</v>
      </c>
      <c r="D397" s="5" t="s">
        <v>2490</v>
      </c>
      <c r="E397" s="4" t="s">
        <v>2491</v>
      </c>
      <c r="F397" s="6">
        <v>14277629</v>
      </c>
      <c r="G397" s="3">
        <v>14277629</v>
      </c>
      <c r="H397" s="7">
        <v>762120123877</v>
      </c>
      <c r="I397" s="8" t="s">
        <v>2062</v>
      </c>
      <c r="J397" s="4">
        <v>1</v>
      </c>
      <c r="K397" s="9">
        <v>7.99</v>
      </c>
      <c r="L397" s="9">
        <v>7.99</v>
      </c>
      <c r="M397" s="4" t="s">
        <v>3375</v>
      </c>
      <c r="N397" s="4" t="s">
        <v>2501</v>
      </c>
      <c r="O397" s="4" t="s">
        <v>2629</v>
      </c>
      <c r="P397" s="4" t="s">
        <v>2503</v>
      </c>
      <c r="Q397" s="4" t="s">
        <v>2504</v>
      </c>
      <c r="R397" s="4"/>
      <c r="S397" s="4"/>
      <c r="T397" s="4" t="str">
        <f>HYPERLINK("http://slimages.macys.com/is/image/MCY/20385707 ")</f>
        <v xml:space="preserve">http://slimages.macys.com/is/image/MCY/20385707 </v>
      </c>
    </row>
    <row r="398" spans="1:20" ht="15" customHeight="1" x14ac:dyDescent="0.25">
      <c r="A398" s="4" t="s">
        <v>2489</v>
      </c>
      <c r="B398" s="2" t="s">
        <v>2487</v>
      </c>
      <c r="C398" s="2" t="s">
        <v>2488</v>
      </c>
      <c r="D398" s="5" t="s">
        <v>2490</v>
      </c>
      <c r="E398" s="4" t="s">
        <v>2491</v>
      </c>
      <c r="F398" s="6">
        <v>14277629</v>
      </c>
      <c r="G398" s="3">
        <v>14277629</v>
      </c>
      <c r="H398" s="7">
        <v>733004780134</v>
      </c>
      <c r="I398" s="8" t="s">
        <v>3159</v>
      </c>
      <c r="J398" s="4">
        <v>1</v>
      </c>
      <c r="K398" s="9">
        <v>7.99</v>
      </c>
      <c r="L398" s="9">
        <v>7.99</v>
      </c>
      <c r="M398" s="4" t="s">
        <v>3126</v>
      </c>
      <c r="N398" s="4" t="s">
        <v>2567</v>
      </c>
      <c r="O398" s="4" t="s">
        <v>2650</v>
      </c>
      <c r="P398" s="4" t="s">
        <v>2602</v>
      </c>
      <c r="Q398" s="4" t="s">
        <v>2528</v>
      </c>
      <c r="R398" s="4"/>
      <c r="S398" s="4"/>
      <c r="T398" s="4" t="str">
        <f>HYPERLINK("http://slimages.macys.com/is/image/MCY/20450165 ")</f>
        <v xml:space="preserve">http://slimages.macys.com/is/image/MCY/20450165 </v>
      </c>
    </row>
    <row r="399" spans="1:20" ht="15" customHeight="1" x14ac:dyDescent="0.25">
      <c r="A399" s="4" t="s">
        <v>2489</v>
      </c>
      <c r="B399" s="2" t="s">
        <v>2487</v>
      </c>
      <c r="C399" s="2" t="s">
        <v>2488</v>
      </c>
      <c r="D399" s="5" t="s">
        <v>2490</v>
      </c>
      <c r="E399" s="4" t="s">
        <v>2491</v>
      </c>
      <c r="F399" s="6">
        <v>14277629</v>
      </c>
      <c r="G399" s="3">
        <v>14277629</v>
      </c>
      <c r="H399" s="7">
        <v>742728948188</v>
      </c>
      <c r="I399" s="8" t="s">
        <v>1483</v>
      </c>
      <c r="J399" s="4">
        <v>1</v>
      </c>
      <c r="K399" s="9">
        <v>18</v>
      </c>
      <c r="L399" s="9">
        <v>18</v>
      </c>
      <c r="M399" s="4" t="s">
        <v>1484</v>
      </c>
      <c r="N399" s="4" t="s">
        <v>2497</v>
      </c>
      <c r="O399" s="4" t="s">
        <v>2498</v>
      </c>
      <c r="P399" s="4" t="s">
        <v>2725</v>
      </c>
      <c r="Q399" s="4" t="s">
        <v>2726</v>
      </c>
      <c r="R399" s="4"/>
      <c r="S399" s="4"/>
      <c r="T399" s="4" t="str">
        <f>HYPERLINK("http://slimages.macys.com/is/image/MCY/21320852 ")</f>
        <v xml:space="preserve">http://slimages.macys.com/is/image/MCY/21320852 </v>
      </c>
    </row>
    <row r="400" spans="1:20" ht="15" customHeight="1" x14ac:dyDescent="0.25">
      <c r="A400" s="4" t="s">
        <v>2489</v>
      </c>
      <c r="B400" s="2" t="s">
        <v>2487</v>
      </c>
      <c r="C400" s="2" t="s">
        <v>2488</v>
      </c>
      <c r="D400" s="5" t="s">
        <v>2490</v>
      </c>
      <c r="E400" s="4" t="s">
        <v>2491</v>
      </c>
      <c r="F400" s="6">
        <v>14277629</v>
      </c>
      <c r="G400" s="3">
        <v>14277629</v>
      </c>
      <c r="H400" s="7">
        <v>195883642246</v>
      </c>
      <c r="I400" s="8" t="s">
        <v>1485</v>
      </c>
      <c r="J400" s="4">
        <v>1</v>
      </c>
      <c r="K400" s="9">
        <v>7.99</v>
      </c>
      <c r="L400" s="9">
        <v>7.99</v>
      </c>
      <c r="M400" s="4" t="s">
        <v>2808</v>
      </c>
      <c r="N400" s="4" t="s">
        <v>2664</v>
      </c>
      <c r="O400" s="4">
        <v>7</v>
      </c>
      <c r="P400" s="4" t="s">
        <v>2506</v>
      </c>
      <c r="Q400" s="4" t="s">
        <v>2527</v>
      </c>
      <c r="R400" s="4"/>
      <c r="S400" s="4"/>
      <c r="T400" s="4" t="str">
        <f>HYPERLINK("http://slimages.macys.com/is/image/MCY/20726218 ")</f>
        <v xml:space="preserve">http://slimages.macys.com/is/image/MCY/20726218 </v>
      </c>
    </row>
    <row r="401" spans="1:20" ht="15" customHeight="1" x14ac:dyDescent="0.25">
      <c r="A401" s="4" t="s">
        <v>2489</v>
      </c>
      <c r="B401" s="2" t="s">
        <v>2487</v>
      </c>
      <c r="C401" s="2" t="s">
        <v>2488</v>
      </c>
      <c r="D401" s="5" t="s">
        <v>2490</v>
      </c>
      <c r="E401" s="4" t="s">
        <v>2491</v>
      </c>
      <c r="F401" s="6">
        <v>14277629</v>
      </c>
      <c r="G401" s="3">
        <v>14277629</v>
      </c>
      <c r="H401" s="7">
        <v>195883642192</v>
      </c>
      <c r="I401" s="8" t="s">
        <v>1486</v>
      </c>
      <c r="J401" s="4">
        <v>1</v>
      </c>
      <c r="K401" s="9">
        <v>7.99</v>
      </c>
      <c r="L401" s="9">
        <v>7.99</v>
      </c>
      <c r="M401" s="4" t="s">
        <v>2808</v>
      </c>
      <c r="N401" s="4" t="s">
        <v>2664</v>
      </c>
      <c r="O401" s="4">
        <v>2</v>
      </c>
      <c r="P401" s="4" t="s">
        <v>2506</v>
      </c>
      <c r="Q401" s="4" t="s">
        <v>2527</v>
      </c>
      <c r="R401" s="4"/>
      <c r="S401" s="4"/>
      <c r="T401" s="4" t="str">
        <f>HYPERLINK("http://slimages.macys.com/is/image/MCY/20726216 ")</f>
        <v xml:space="preserve">http://slimages.macys.com/is/image/MCY/20726216 </v>
      </c>
    </row>
    <row r="402" spans="1:20" ht="15" customHeight="1" x14ac:dyDescent="0.25">
      <c r="A402" s="4" t="s">
        <v>2489</v>
      </c>
      <c r="B402" s="2" t="s">
        <v>2487</v>
      </c>
      <c r="C402" s="2" t="s">
        <v>2488</v>
      </c>
      <c r="D402" s="5" t="s">
        <v>2490</v>
      </c>
      <c r="E402" s="4" t="s">
        <v>2491</v>
      </c>
      <c r="F402" s="6">
        <v>14277629</v>
      </c>
      <c r="G402" s="3">
        <v>14277629</v>
      </c>
      <c r="H402" s="7">
        <v>762120216333</v>
      </c>
      <c r="I402" s="8" t="s">
        <v>1896</v>
      </c>
      <c r="J402" s="4">
        <v>2</v>
      </c>
      <c r="K402" s="9">
        <v>21.99</v>
      </c>
      <c r="L402" s="9">
        <v>43.98</v>
      </c>
      <c r="M402" s="4" t="s">
        <v>2994</v>
      </c>
      <c r="N402" s="4" t="s">
        <v>2565</v>
      </c>
      <c r="O402" s="4" t="s">
        <v>2555</v>
      </c>
      <c r="P402" s="4" t="s">
        <v>2515</v>
      </c>
      <c r="Q402" s="4" t="s">
        <v>2672</v>
      </c>
      <c r="R402" s="4"/>
      <c r="S402" s="4"/>
      <c r="T402" s="4" t="str">
        <f>HYPERLINK("http://slimages.macys.com/is/image/MCY/20411699 ")</f>
        <v xml:space="preserve">http://slimages.macys.com/is/image/MCY/20411699 </v>
      </c>
    </row>
    <row r="403" spans="1:20" ht="15" customHeight="1" x14ac:dyDescent="0.25">
      <c r="A403" s="4" t="s">
        <v>2489</v>
      </c>
      <c r="B403" s="2" t="s">
        <v>2487</v>
      </c>
      <c r="C403" s="2" t="s">
        <v>2488</v>
      </c>
      <c r="D403" s="5" t="s">
        <v>2490</v>
      </c>
      <c r="E403" s="4" t="s">
        <v>2491</v>
      </c>
      <c r="F403" s="6">
        <v>14277629</v>
      </c>
      <c r="G403" s="3">
        <v>14277629</v>
      </c>
      <c r="H403" s="7">
        <v>194257547385</v>
      </c>
      <c r="I403" s="8" t="s">
        <v>1487</v>
      </c>
      <c r="J403" s="4">
        <v>1</v>
      </c>
      <c r="K403" s="9">
        <v>7.99</v>
      </c>
      <c r="L403" s="9">
        <v>7.99</v>
      </c>
      <c r="M403" s="4" t="s">
        <v>3289</v>
      </c>
      <c r="N403" s="4" t="s">
        <v>2501</v>
      </c>
      <c r="O403" s="4" t="s">
        <v>2555</v>
      </c>
      <c r="P403" s="4" t="s">
        <v>2499</v>
      </c>
      <c r="Q403" s="4" t="s">
        <v>2500</v>
      </c>
      <c r="R403" s="4"/>
      <c r="S403" s="4"/>
      <c r="T403" s="4" t="str">
        <f>HYPERLINK("http://slimages.macys.com/is/image/MCY/19705825 ")</f>
        <v xml:space="preserve">http://slimages.macys.com/is/image/MCY/19705825 </v>
      </c>
    </row>
    <row r="404" spans="1:20" ht="15" customHeight="1" x14ac:dyDescent="0.25">
      <c r="A404" s="4" t="s">
        <v>2489</v>
      </c>
      <c r="B404" s="2" t="s">
        <v>2487</v>
      </c>
      <c r="C404" s="2" t="s">
        <v>2488</v>
      </c>
      <c r="D404" s="5" t="s">
        <v>2490</v>
      </c>
      <c r="E404" s="4" t="s">
        <v>2491</v>
      </c>
      <c r="F404" s="6">
        <v>14277629</v>
      </c>
      <c r="G404" s="3">
        <v>14277629</v>
      </c>
      <c r="H404" s="7">
        <v>194257534460</v>
      </c>
      <c r="I404" s="8" t="s">
        <v>1849</v>
      </c>
      <c r="J404" s="4">
        <v>1</v>
      </c>
      <c r="K404" s="9">
        <v>7.99</v>
      </c>
      <c r="L404" s="9">
        <v>7.99</v>
      </c>
      <c r="M404" s="4" t="s">
        <v>2684</v>
      </c>
      <c r="N404" s="4" t="s">
        <v>2505</v>
      </c>
      <c r="O404" s="4" t="s">
        <v>2524</v>
      </c>
      <c r="P404" s="4" t="s">
        <v>2499</v>
      </c>
      <c r="Q404" s="4" t="s">
        <v>2525</v>
      </c>
      <c r="R404" s="4"/>
      <c r="S404" s="4"/>
      <c r="T404" s="4" t="str">
        <f>HYPERLINK("http://slimages.macys.com/is/image/MCY/19502008 ")</f>
        <v xml:space="preserve">http://slimages.macys.com/is/image/MCY/19502008 </v>
      </c>
    </row>
    <row r="405" spans="1:20" ht="15" customHeight="1" x14ac:dyDescent="0.25">
      <c r="A405" s="4" t="s">
        <v>2489</v>
      </c>
      <c r="B405" s="2" t="s">
        <v>2487</v>
      </c>
      <c r="C405" s="2" t="s">
        <v>2488</v>
      </c>
      <c r="D405" s="5" t="s">
        <v>2490</v>
      </c>
      <c r="E405" s="4" t="s">
        <v>2491</v>
      </c>
      <c r="F405" s="6">
        <v>14277629</v>
      </c>
      <c r="G405" s="3">
        <v>14277629</v>
      </c>
      <c r="H405" s="7">
        <v>194931204573</v>
      </c>
      <c r="I405" s="8" t="s">
        <v>1899</v>
      </c>
      <c r="J405" s="4">
        <v>4</v>
      </c>
      <c r="K405" s="9">
        <v>19.8</v>
      </c>
      <c r="L405" s="9">
        <v>79.2</v>
      </c>
      <c r="M405" s="4" t="s">
        <v>1900</v>
      </c>
      <c r="N405" s="4" t="s">
        <v>2523</v>
      </c>
      <c r="O405" s="4"/>
      <c r="P405" s="4" t="s">
        <v>2622</v>
      </c>
      <c r="Q405" s="4" t="s">
        <v>2643</v>
      </c>
      <c r="R405" s="4"/>
      <c r="S405" s="4"/>
      <c r="T405" s="4" t="str">
        <f>HYPERLINK("http://slimages.macys.com/is/image/MCY/19992291 ")</f>
        <v xml:space="preserve">http://slimages.macys.com/is/image/MCY/19992291 </v>
      </c>
    </row>
    <row r="406" spans="1:20" ht="15" customHeight="1" x14ac:dyDescent="0.25">
      <c r="A406" s="4" t="s">
        <v>2489</v>
      </c>
      <c r="B406" s="2" t="s">
        <v>2487</v>
      </c>
      <c r="C406" s="2" t="s">
        <v>2488</v>
      </c>
      <c r="D406" s="5" t="s">
        <v>2490</v>
      </c>
      <c r="E406" s="4" t="s">
        <v>2491</v>
      </c>
      <c r="F406" s="6">
        <v>14277629</v>
      </c>
      <c r="G406" s="3">
        <v>14277629</v>
      </c>
      <c r="H406" s="7">
        <v>194931204870</v>
      </c>
      <c r="I406" s="8" t="s">
        <v>1880</v>
      </c>
      <c r="J406" s="4">
        <v>1</v>
      </c>
      <c r="K406" s="9">
        <v>21.6</v>
      </c>
      <c r="L406" s="9">
        <v>21.6</v>
      </c>
      <c r="M406" s="4" t="s">
        <v>2963</v>
      </c>
      <c r="N406" s="4" t="s">
        <v>2739</v>
      </c>
      <c r="O406" s="4"/>
      <c r="P406" s="4" t="s">
        <v>2622</v>
      </c>
      <c r="Q406" s="4" t="s">
        <v>2643</v>
      </c>
      <c r="R406" s="4"/>
      <c r="S406" s="4"/>
      <c r="T406" s="4" t="str">
        <f>HYPERLINK("http://slimages.macys.com/is/image/MCY/19992480 ")</f>
        <v xml:space="preserve">http://slimages.macys.com/is/image/MCY/19992480 </v>
      </c>
    </row>
    <row r="407" spans="1:20" ht="15" customHeight="1" x14ac:dyDescent="0.25">
      <c r="A407" s="4" t="s">
        <v>2489</v>
      </c>
      <c r="B407" s="2" t="s">
        <v>2487</v>
      </c>
      <c r="C407" s="2" t="s">
        <v>2488</v>
      </c>
      <c r="D407" s="5" t="s">
        <v>2490</v>
      </c>
      <c r="E407" s="4" t="s">
        <v>2491</v>
      </c>
      <c r="F407" s="6">
        <v>14277629</v>
      </c>
      <c r="G407" s="3">
        <v>14277629</v>
      </c>
      <c r="H407" s="7">
        <v>195958094697</v>
      </c>
      <c r="I407" s="8" t="s">
        <v>1488</v>
      </c>
      <c r="J407" s="4">
        <v>1</v>
      </c>
      <c r="K407" s="9">
        <v>29.5</v>
      </c>
      <c r="L407" s="9">
        <v>29.5</v>
      </c>
      <c r="M407" s="4" t="s">
        <v>1489</v>
      </c>
      <c r="N407" s="4" t="s">
        <v>2501</v>
      </c>
      <c r="O407" s="4"/>
      <c r="P407" s="4" t="s">
        <v>2985</v>
      </c>
      <c r="Q407" s="4" t="s">
        <v>2715</v>
      </c>
      <c r="R407" s="4"/>
      <c r="S407" s="4"/>
      <c r="T407" s="4" t="str">
        <f>HYPERLINK("http://slimages.macys.com/is/image/MCY/20038537 ")</f>
        <v xml:space="preserve">http://slimages.macys.com/is/image/MCY/20038537 </v>
      </c>
    </row>
    <row r="408" spans="1:20" ht="15" customHeight="1" x14ac:dyDescent="0.25">
      <c r="A408" s="4" t="s">
        <v>2489</v>
      </c>
      <c r="B408" s="2" t="s">
        <v>2487</v>
      </c>
      <c r="C408" s="2" t="s">
        <v>2488</v>
      </c>
      <c r="D408" s="5" t="s">
        <v>2490</v>
      </c>
      <c r="E408" s="4" t="s">
        <v>2491</v>
      </c>
      <c r="F408" s="6">
        <v>14277629</v>
      </c>
      <c r="G408" s="3">
        <v>14277629</v>
      </c>
      <c r="H408" s="7">
        <v>733004752131</v>
      </c>
      <c r="I408" s="8" t="s">
        <v>1490</v>
      </c>
      <c r="J408" s="4">
        <v>1</v>
      </c>
      <c r="K408" s="9">
        <v>15.99</v>
      </c>
      <c r="L408" s="9">
        <v>15.99</v>
      </c>
      <c r="M408" s="4" t="s">
        <v>3238</v>
      </c>
      <c r="N408" s="4" t="s">
        <v>2514</v>
      </c>
      <c r="O408" s="4" t="s">
        <v>2519</v>
      </c>
      <c r="P408" s="4" t="s">
        <v>2543</v>
      </c>
      <c r="Q408" s="4" t="s">
        <v>2528</v>
      </c>
      <c r="R408" s="4"/>
      <c r="S408" s="4"/>
      <c r="T408" s="4" t="str">
        <f>HYPERLINK("http://slimages.macys.com/is/image/MCY/20440819 ")</f>
        <v xml:space="preserve">http://slimages.macys.com/is/image/MCY/20440819 </v>
      </c>
    </row>
    <row r="409" spans="1:20" ht="15" customHeight="1" x14ac:dyDescent="0.25">
      <c r="A409" s="4" t="s">
        <v>2489</v>
      </c>
      <c r="B409" s="2" t="s">
        <v>2487</v>
      </c>
      <c r="C409" s="2" t="s">
        <v>2488</v>
      </c>
      <c r="D409" s="5" t="s">
        <v>2490</v>
      </c>
      <c r="E409" s="4" t="s">
        <v>2491</v>
      </c>
      <c r="F409" s="6">
        <v>14277629</v>
      </c>
      <c r="G409" s="3">
        <v>14277629</v>
      </c>
      <c r="H409" s="7">
        <v>194753818125</v>
      </c>
      <c r="I409" s="8" t="s">
        <v>1491</v>
      </c>
      <c r="J409" s="4">
        <v>1</v>
      </c>
      <c r="K409" s="9">
        <v>26</v>
      </c>
      <c r="L409" s="9">
        <v>26</v>
      </c>
      <c r="M409" s="4" t="s">
        <v>2419</v>
      </c>
      <c r="N409" s="4" t="s">
        <v>2544</v>
      </c>
      <c r="O409" s="4" t="s">
        <v>2519</v>
      </c>
      <c r="P409" s="4" t="s">
        <v>2666</v>
      </c>
      <c r="Q409" s="4" t="s">
        <v>3399</v>
      </c>
      <c r="R409" s="4"/>
      <c r="S409" s="4"/>
      <c r="T409" s="4" t="str">
        <f>HYPERLINK("http://slimages.macys.com/is/image/MCY/20856095 ")</f>
        <v xml:space="preserve">http://slimages.macys.com/is/image/MCY/20856095 </v>
      </c>
    </row>
    <row r="410" spans="1:20" ht="15" customHeight="1" x14ac:dyDescent="0.25">
      <c r="A410" s="4" t="s">
        <v>2489</v>
      </c>
      <c r="B410" s="2" t="s">
        <v>2487</v>
      </c>
      <c r="C410" s="2" t="s">
        <v>2488</v>
      </c>
      <c r="D410" s="5" t="s">
        <v>2490</v>
      </c>
      <c r="E410" s="4" t="s">
        <v>2491</v>
      </c>
      <c r="F410" s="6">
        <v>14277629</v>
      </c>
      <c r="G410" s="3">
        <v>14277629</v>
      </c>
      <c r="H410" s="7">
        <v>193712346990</v>
      </c>
      <c r="I410" s="8" t="s">
        <v>1492</v>
      </c>
      <c r="J410" s="4">
        <v>1</v>
      </c>
      <c r="K410" s="9">
        <v>30.99</v>
      </c>
      <c r="L410" s="9">
        <v>30.99</v>
      </c>
      <c r="M410" s="4" t="s">
        <v>1493</v>
      </c>
      <c r="N410" s="4" t="s">
        <v>2729</v>
      </c>
      <c r="O410" s="4" t="s">
        <v>2937</v>
      </c>
      <c r="P410" s="4" t="s">
        <v>2536</v>
      </c>
      <c r="Q410" s="4" t="s">
        <v>2869</v>
      </c>
      <c r="R410" s="4"/>
      <c r="S410" s="4"/>
      <c r="T410" s="4" t="str">
        <f>HYPERLINK("http://slimages.macys.com/is/image/MCY/20007092 ")</f>
        <v xml:space="preserve">http://slimages.macys.com/is/image/MCY/20007092 </v>
      </c>
    </row>
    <row r="411" spans="1:20" ht="15" customHeight="1" x14ac:dyDescent="0.25">
      <c r="A411" s="4" t="s">
        <v>2489</v>
      </c>
      <c r="B411" s="2" t="s">
        <v>2487</v>
      </c>
      <c r="C411" s="2" t="s">
        <v>2488</v>
      </c>
      <c r="D411" s="5" t="s">
        <v>2490</v>
      </c>
      <c r="E411" s="4" t="s">
        <v>2491</v>
      </c>
      <c r="F411" s="6">
        <v>14277629</v>
      </c>
      <c r="G411" s="3">
        <v>14277629</v>
      </c>
      <c r="H411" s="7">
        <v>733004542923</v>
      </c>
      <c r="I411" s="8" t="s">
        <v>2072</v>
      </c>
      <c r="J411" s="4">
        <v>1</v>
      </c>
      <c r="K411" s="9">
        <v>40.99</v>
      </c>
      <c r="L411" s="9">
        <v>40.99</v>
      </c>
      <c r="M411" s="4" t="s">
        <v>2047</v>
      </c>
      <c r="N411" s="4" t="s">
        <v>2731</v>
      </c>
      <c r="O411" s="4" t="s">
        <v>2498</v>
      </c>
      <c r="P411" s="4" t="s">
        <v>2543</v>
      </c>
      <c r="Q411" s="4" t="s">
        <v>2528</v>
      </c>
      <c r="R411" s="4"/>
      <c r="S411" s="4"/>
      <c r="T411" s="4" t="str">
        <f>HYPERLINK("http://slimages.macys.com/is/image/MCY/20158262 ")</f>
        <v xml:space="preserve">http://slimages.macys.com/is/image/MCY/20158262 </v>
      </c>
    </row>
    <row r="412" spans="1:20" ht="15" customHeight="1" x14ac:dyDescent="0.25">
      <c r="A412" s="4" t="s">
        <v>2489</v>
      </c>
      <c r="B412" s="2" t="s">
        <v>2487</v>
      </c>
      <c r="C412" s="2" t="s">
        <v>2488</v>
      </c>
      <c r="D412" s="5" t="s">
        <v>2490</v>
      </c>
      <c r="E412" s="4" t="s">
        <v>2491</v>
      </c>
      <c r="F412" s="6">
        <v>14277629</v>
      </c>
      <c r="G412" s="3">
        <v>14277629</v>
      </c>
      <c r="H412" s="7">
        <v>194135701250</v>
      </c>
      <c r="I412" s="8" t="s">
        <v>1494</v>
      </c>
      <c r="J412" s="4">
        <v>1</v>
      </c>
      <c r="K412" s="9">
        <v>17.29</v>
      </c>
      <c r="L412" s="9">
        <v>17.29</v>
      </c>
      <c r="M412" s="4" t="s">
        <v>1495</v>
      </c>
      <c r="N412" s="4"/>
      <c r="O412" s="4" t="s">
        <v>2591</v>
      </c>
      <c r="P412" s="4" t="s">
        <v>2494</v>
      </c>
      <c r="Q412" s="4" t="s">
        <v>2495</v>
      </c>
      <c r="R412" s="4"/>
      <c r="S412" s="4"/>
      <c r="T412" s="4" t="str">
        <f>HYPERLINK("http://slimages.macys.com/is/image/MCY/20193198 ")</f>
        <v xml:space="preserve">http://slimages.macys.com/is/image/MCY/20193198 </v>
      </c>
    </row>
    <row r="413" spans="1:20" ht="15" customHeight="1" x14ac:dyDescent="0.25">
      <c r="A413" s="4" t="s">
        <v>2489</v>
      </c>
      <c r="B413" s="2" t="s">
        <v>2487</v>
      </c>
      <c r="C413" s="2" t="s">
        <v>2488</v>
      </c>
      <c r="D413" s="5" t="s">
        <v>2490</v>
      </c>
      <c r="E413" s="4" t="s">
        <v>2491</v>
      </c>
      <c r="F413" s="6">
        <v>14277629</v>
      </c>
      <c r="G413" s="3">
        <v>14277629</v>
      </c>
      <c r="H413" s="7">
        <v>195437514289</v>
      </c>
      <c r="I413" s="8" t="s">
        <v>3075</v>
      </c>
      <c r="J413" s="4">
        <v>5</v>
      </c>
      <c r="K413" s="9">
        <v>85</v>
      </c>
      <c r="L413" s="9">
        <v>425</v>
      </c>
      <c r="M413" s="4" t="s">
        <v>3076</v>
      </c>
      <c r="N413" s="4" t="s">
        <v>2497</v>
      </c>
      <c r="O413" s="4" t="s">
        <v>2524</v>
      </c>
      <c r="P413" s="4" t="s">
        <v>2550</v>
      </c>
      <c r="Q413" s="4" t="s">
        <v>2873</v>
      </c>
      <c r="R413" s="4"/>
      <c r="S413" s="4"/>
      <c r="T413" s="4" t="str">
        <f>HYPERLINK("http://slimages.macys.com/is/image/MCY/20092398 ")</f>
        <v xml:space="preserve">http://slimages.macys.com/is/image/MCY/20092398 </v>
      </c>
    </row>
    <row r="414" spans="1:20" ht="15" customHeight="1" x14ac:dyDescent="0.25">
      <c r="A414" s="4" t="s">
        <v>2489</v>
      </c>
      <c r="B414" s="2" t="s">
        <v>2487</v>
      </c>
      <c r="C414" s="2" t="s">
        <v>2488</v>
      </c>
      <c r="D414" s="5" t="s">
        <v>2490</v>
      </c>
      <c r="E414" s="4" t="s">
        <v>2491</v>
      </c>
      <c r="F414" s="6">
        <v>14277629</v>
      </c>
      <c r="G414" s="3">
        <v>14277629</v>
      </c>
      <c r="H414" s="7">
        <v>733004085987</v>
      </c>
      <c r="I414" s="8" t="s">
        <v>1496</v>
      </c>
      <c r="J414" s="4">
        <v>2</v>
      </c>
      <c r="K414" s="9">
        <v>21.99</v>
      </c>
      <c r="L414" s="9">
        <v>43.98</v>
      </c>
      <c r="M414" s="4" t="s">
        <v>2038</v>
      </c>
      <c r="N414" s="4" t="s">
        <v>2567</v>
      </c>
      <c r="O414" s="4" t="s">
        <v>2671</v>
      </c>
      <c r="P414" s="4" t="s">
        <v>2543</v>
      </c>
      <c r="Q414" s="4" t="s">
        <v>2528</v>
      </c>
      <c r="R414" s="4"/>
      <c r="S414" s="4"/>
      <c r="T414" s="4" t="str">
        <f>HYPERLINK("http://slimages.macys.com/is/image/MCY/19965740 ")</f>
        <v xml:space="preserve">http://slimages.macys.com/is/image/MCY/19965740 </v>
      </c>
    </row>
    <row r="415" spans="1:20" ht="15" customHeight="1" x14ac:dyDescent="0.25">
      <c r="A415" s="4" t="s">
        <v>2489</v>
      </c>
      <c r="B415" s="2" t="s">
        <v>2487</v>
      </c>
      <c r="C415" s="2" t="s">
        <v>2488</v>
      </c>
      <c r="D415" s="5" t="s">
        <v>2490</v>
      </c>
      <c r="E415" s="4" t="s">
        <v>2491</v>
      </c>
      <c r="F415" s="6">
        <v>14277629</v>
      </c>
      <c r="G415" s="3">
        <v>14277629</v>
      </c>
      <c r="H415" s="7">
        <v>733004297625</v>
      </c>
      <c r="I415" s="8" t="s">
        <v>1918</v>
      </c>
      <c r="J415" s="4">
        <v>1</v>
      </c>
      <c r="K415" s="9">
        <v>27.99</v>
      </c>
      <c r="L415" s="9">
        <v>27.99</v>
      </c>
      <c r="M415" s="4" t="s">
        <v>2949</v>
      </c>
      <c r="N415" s="4" t="s">
        <v>2497</v>
      </c>
      <c r="O415" s="4" t="s">
        <v>2519</v>
      </c>
      <c r="P415" s="4" t="s">
        <v>2515</v>
      </c>
      <c r="Q415" s="4" t="s">
        <v>2672</v>
      </c>
      <c r="R415" s="4"/>
      <c r="S415" s="4"/>
      <c r="T415" s="4" t="str">
        <f>HYPERLINK("http://slimages.macys.com/is/image/MCY/20143278 ")</f>
        <v xml:space="preserve">http://slimages.macys.com/is/image/MCY/20143278 </v>
      </c>
    </row>
    <row r="416" spans="1:20" ht="15" customHeight="1" x14ac:dyDescent="0.25">
      <c r="A416" s="4" t="s">
        <v>2489</v>
      </c>
      <c r="B416" s="2" t="s">
        <v>2487</v>
      </c>
      <c r="C416" s="2" t="s">
        <v>2488</v>
      </c>
      <c r="D416" s="5" t="s">
        <v>2490</v>
      </c>
      <c r="E416" s="4" t="s">
        <v>2491</v>
      </c>
      <c r="F416" s="6">
        <v>14277629</v>
      </c>
      <c r="G416" s="3">
        <v>14277629</v>
      </c>
      <c r="H416" s="7">
        <v>195883922812</v>
      </c>
      <c r="I416" s="8" t="s">
        <v>3227</v>
      </c>
      <c r="J416" s="4">
        <v>1</v>
      </c>
      <c r="K416" s="9">
        <v>8.31</v>
      </c>
      <c r="L416" s="9">
        <v>8.31</v>
      </c>
      <c r="M416" s="4" t="s">
        <v>3228</v>
      </c>
      <c r="N416" s="4" t="s">
        <v>2632</v>
      </c>
      <c r="O416" s="4">
        <v>2</v>
      </c>
      <c r="P416" s="4" t="s">
        <v>2506</v>
      </c>
      <c r="Q416" s="4" t="s">
        <v>2527</v>
      </c>
      <c r="R416" s="4"/>
      <c r="S416" s="4"/>
      <c r="T416" s="4" t="str">
        <f>HYPERLINK("http://slimages.macys.com/is/image/MCY/20876630 ")</f>
        <v xml:space="preserve">http://slimages.macys.com/is/image/MCY/20876630 </v>
      </c>
    </row>
    <row r="417" spans="1:20" ht="15" customHeight="1" x14ac:dyDescent="0.25">
      <c r="A417" s="4" t="s">
        <v>2489</v>
      </c>
      <c r="B417" s="2" t="s">
        <v>2487</v>
      </c>
      <c r="C417" s="2" t="s">
        <v>2488</v>
      </c>
      <c r="D417" s="5" t="s">
        <v>2490</v>
      </c>
      <c r="E417" s="4" t="s">
        <v>2491</v>
      </c>
      <c r="F417" s="6">
        <v>14277629</v>
      </c>
      <c r="G417" s="3">
        <v>14277629</v>
      </c>
      <c r="H417" s="7">
        <v>762120113014</v>
      </c>
      <c r="I417" s="8" t="s">
        <v>1497</v>
      </c>
      <c r="J417" s="4">
        <v>1</v>
      </c>
      <c r="K417" s="9">
        <v>6.99</v>
      </c>
      <c r="L417" s="9">
        <v>6.99</v>
      </c>
      <c r="M417" s="4" t="s">
        <v>3332</v>
      </c>
      <c r="N417" s="4" t="s">
        <v>2571</v>
      </c>
      <c r="O417" s="4" t="s">
        <v>2502</v>
      </c>
      <c r="P417" s="4" t="s">
        <v>2503</v>
      </c>
      <c r="Q417" s="4" t="s">
        <v>2504</v>
      </c>
      <c r="R417" s="4"/>
      <c r="S417" s="4"/>
      <c r="T417" s="4" t="str">
        <f>HYPERLINK("http://slimages.macys.com/is/image/MCY/19976989 ")</f>
        <v xml:space="preserve">http://slimages.macys.com/is/image/MCY/19976989 </v>
      </c>
    </row>
    <row r="418" spans="1:20" ht="15" customHeight="1" x14ac:dyDescent="0.25">
      <c r="A418" s="4" t="s">
        <v>2489</v>
      </c>
      <c r="B418" s="2" t="s">
        <v>2487</v>
      </c>
      <c r="C418" s="2" t="s">
        <v>2488</v>
      </c>
      <c r="D418" s="5" t="s">
        <v>2490</v>
      </c>
      <c r="E418" s="4" t="s">
        <v>2491</v>
      </c>
      <c r="F418" s="6">
        <v>14277629</v>
      </c>
      <c r="G418" s="3">
        <v>14277629</v>
      </c>
      <c r="H418" s="7">
        <v>733004780714</v>
      </c>
      <c r="I418" s="8" t="s">
        <v>1498</v>
      </c>
      <c r="J418" s="4">
        <v>1</v>
      </c>
      <c r="K418" s="9">
        <v>11.99</v>
      </c>
      <c r="L418" s="9">
        <v>11.99</v>
      </c>
      <c r="M418" s="4" t="s">
        <v>3083</v>
      </c>
      <c r="N418" s="4" t="s">
        <v>2638</v>
      </c>
      <c r="O418" s="4" t="s">
        <v>2628</v>
      </c>
      <c r="P418" s="4" t="s">
        <v>2602</v>
      </c>
      <c r="Q418" s="4" t="s">
        <v>2528</v>
      </c>
      <c r="R418" s="4"/>
      <c r="S418" s="4"/>
      <c r="T418" s="4" t="str">
        <f>HYPERLINK("http://slimages.macys.com/is/image/MCY/20450174 ")</f>
        <v xml:space="preserve">http://slimages.macys.com/is/image/MCY/20450174 </v>
      </c>
    </row>
    <row r="419" spans="1:20" ht="15" customHeight="1" x14ac:dyDescent="0.25">
      <c r="A419" s="4" t="s">
        <v>2489</v>
      </c>
      <c r="B419" s="2" t="s">
        <v>2487</v>
      </c>
      <c r="C419" s="2" t="s">
        <v>2488</v>
      </c>
      <c r="D419" s="5" t="s">
        <v>2490</v>
      </c>
      <c r="E419" s="4" t="s">
        <v>2491</v>
      </c>
      <c r="F419" s="6">
        <v>14277629</v>
      </c>
      <c r="G419" s="3">
        <v>14277629</v>
      </c>
      <c r="H419" s="7">
        <v>645163879423</v>
      </c>
      <c r="I419" s="8" t="s">
        <v>1499</v>
      </c>
      <c r="J419" s="4">
        <v>1</v>
      </c>
      <c r="K419" s="9">
        <v>35.99</v>
      </c>
      <c r="L419" s="9">
        <v>35.99</v>
      </c>
      <c r="M419" s="4" t="s">
        <v>1500</v>
      </c>
      <c r="N419" s="4" t="s">
        <v>2505</v>
      </c>
      <c r="O419" s="4">
        <v>16</v>
      </c>
      <c r="P419" s="4" t="s">
        <v>2722</v>
      </c>
      <c r="Q419" s="4" t="s">
        <v>3262</v>
      </c>
      <c r="R419" s="4" t="s">
        <v>2552</v>
      </c>
      <c r="S419" s="4" t="s">
        <v>2834</v>
      </c>
      <c r="T419" s="4" t="str">
        <f>HYPERLINK("http://slimages.macys.com/is/image/MCY/16525449 ")</f>
        <v xml:space="preserve">http://slimages.macys.com/is/image/MCY/16525449 </v>
      </c>
    </row>
    <row r="420" spans="1:20" ht="15" customHeight="1" x14ac:dyDescent="0.25">
      <c r="A420" s="4" t="s">
        <v>2489</v>
      </c>
      <c r="B420" s="2" t="s">
        <v>2487</v>
      </c>
      <c r="C420" s="2" t="s">
        <v>2488</v>
      </c>
      <c r="D420" s="5" t="s">
        <v>2490</v>
      </c>
      <c r="E420" s="4" t="s">
        <v>2491</v>
      </c>
      <c r="F420" s="6">
        <v>14277629</v>
      </c>
      <c r="G420" s="3">
        <v>14277629</v>
      </c>
      <c r="H420" s="7">
        <v>733003930431</v>
      </c>
      <c r="I420" s="8" t="s">
        <v>1501</v>
      </c>
      <c r="J420" s="4">
        <v>1</v>
      </c>
      <c r="K420" s="9">
        <v>12.99</v>
      </c>
      <c r="L420" s="9">
        <v>12.99</v>
      </c>
      <c r="M420" s="4" t="s">
        <v>3175</v>
      </c>
      <c r="N420" s="4" t="s">
        <v>2501</v>
      </c>
      <c r="O420" s="4" t="s">
        <v>2601</v>
      </c>
      <c r="P420" s="4" t="s">
        <v>2503</v>
      </c>
      <c r="Q420" s="4" t="s">
        <v>2504</v>
      </c>
      <c r="R420" s="4"/>
      <c r="S420" s="4"/>
      <c r="T420" s="4" t="str">
        <f>HYPERLINK("http://slimages.macys.com/is/image/MCY/872405 ")</f>
        <v xml:space="preserve">http://slimages.macys.com/is/image/MCY/872405 </v>
      </c>
    </row>
    <row r="421" spans="1:20" ht="15" customHeight="1" x14ac:dyDescent="0.25">
      <c r="A421" s="4" t="s">
        <v>2489</v>
      </c>
      <c r="B421" s="2" t="s">
        <v>2487</v>
      </c>
      <c r="C421" s="2" t="s">
        <v>2488</v>
      </c>
      <c r="D421" s="5" t="s">
        <v>2490</v>
      </c>
      <c r="E421" s="4" t="s">
        <v>2491</v>
      </c>
      <c r="F421" s="6">
        <v>14277629</v>
      </c>
      <c r="G421" s="3">
        <v>14277629</v>
      </c>
      <c r="H421" s="7">
        <v>733004782688</v>
      </c>
      <c r="I421" s="8" t="s">
        <v>1502</v>
      </c>
      <c r="J421" s="4">
        <v>1</v>
      </c>
      <c r="K421" s="9">
        <v>7.99</v>
      </c>
      <c r="L421" s="9">
        <v>7.99</v>
      </c>
      <c r="M421" s="4" t="s">
        <v>1503</v>
      </c>
      <c r="N421" s="4" t="s">
        <v>2561</v>
      </c>
      <c r="O421" s="4" t="s">
        <v>2629</v>
      </c>
      <c r="P421" s="4" t="s">
        <v>2602</v>
      </c>
      <c r="Q421" s="4" t="s">
        <v>2528</v>
      </c>
      <c r="R421" s="4"/>
      <c r="S421" s="4"/>
      <c r="T421" s="4" t="str">
        <f>HYPERLINK("http://slimages.macys.com/is/image/MCY/20450191 ")</f>
        <v xml:space="preserve">http://slimages.macys.com/is/image/MCY/20450191 </v>
      </c>
    </row>
    <row r="422" spans="1:20" ht="15" customHeight="1" x14ac:dyDescent="0.25">
      <c r="A422" s="4" t="s">
        <v>2489</v>
      </c>
      <c r="B422" s="2" t="s">
        <v>2487</v>
      </c>
      <c r="C422" s="2" t="s">
        <v>2488</v>
      </c>
      <c r="D422" s="5" t="s">
        <v>2490</v>
      </c>
      <c r="E422" s="4" t="s">
        <v>2491</v>
      </c>
      <c r="F422" s="6">
        <v>14277629</v>
      </c>
      <c r="G422" s="3">
        <v>14277629</v>
      </c>
      <c r="H422" s="7">
        <v>733004782671</v>
      </c>
      <c r="I422" s="8" t="s">
        <v>1504</v>
      </c>
      <c r="J422" s="4">
        <v>1</v>
      </c>
      <c r="K422" s="9">
        <v>7.99</v>
      </c>
      <c r="L422" s="9">
        <v>7.99</v>
      </c>
      <c r="M422" s="4" t="s">
        <v>1503</v>
      </c>
      <c r="N422" s="4" t="s">
        <v>2561</v>
      </c>
      <c r="O422" s="4" t="s">
        <v>2650</v>
      </c>
      <c r="P422" s="4" t="s">
        <v>2602</v>
      </c>
      <c r="Q422" s="4" t="s">
        <v>2528</v>
      </c>
      <c r="R422" s="4"/>
      <c r="S422" s="4"/>
      <c r="T422" s="4" t="str">
        <f>HYPERLINK("http://slimages.macys.com/is/image/MCY/20450191 ")</f>
        <v xml:space="preserve">http://slimages.macys.com/is/image/MCY/20450191 </v>
      </c>
    </row>
    <row r="423" spans="1:20" ht="15" customHeight="1" x14ac:dyDescent="0.25">
      <c r="A423" s="4" t="s">
        <v>2489</v>
      </c>
      <c r="B423" s="2" t="s">
        <v>2487</v>
      </c>
      <c r="C423" s="2" t="s">
        <v>2488</v>
      </c>
      <c r="D423" s="5" t="s">
        <v>2490</v>
      </c>
      <c r="E423" s="4" t="s">
        <v>2491</v>
      </c>
      <c r="F423" s="6">
        <v>14277629</v>
      </c>
      <c r="G423" s="3">
        <v>14277629</v>
      </c>
      <c r="H423" s="7">
        <v>193666744729</v>
      </c>
      <c r="I423" s="8" t="s">
        <v>1505</v>
      </c>
      <c r="J423" s="4">
        <v>1</v>
      </c>
      <c r="K423" s="9">
        <v>15.99</v>
      </c>
      <c r="L423" s="9">
        <v>15.99</v>
      </c>
      <c r="M423" s="4">
        <v>6763</v>
      </c>
      <c r="N423" s="4"/>
      <c r="O423" s="4" t="s">
        <v>2519</v>
      </c>
      <c r="P423" s="4" t="s">
        <v>2666</v>
      </c>
      <c r="Q423" s="4" t="s">
        <v>2775</v>
      </c>
      <c r="R423" s="4"/>
      <c r="S423" s="4"/>
      <c r="T423" s="4" t="str">
        <f>HYPERLINK("http://slimages.macys.com/is/image/MCY/19674914 ")</f>
        <v xml:space="preserve">http://slimages.macys.com/is/image/MCY/19674914 </v>
      </c>
    </row>
    <row r="424" spans="1:20" ht="15" customHeight="1" x14ac:dyDescent="0.25">
      <c r="A424" s="4" t="s">
        <v>2489</v>
      </c>
      <c r="B424" s="2" t="s">
        <v>2487</v>
      </c>
      <c r="C424" s="2" t="s">
        <v>2488</v>
      </c>
      <c r="D424" s="5" t="s">
        <v>2490</v>
      </c>
      <c r="E424" s="4" t="s">
        <v>2491</v>
      </c>
      <c r="F424" s="6">
        <v>14277629</v>
      </c>
      <c r="G424" s="3">
        <v>14277629</v>
      </c>
      <c r="H424" s="7">
        <v>193666806311</v>
      </c>
      <c r="I424" s="8" t="s">
        <v>1821</v>
      </c>
      <c r="J424" s="4">
        <v>1</v>
      </c>
      <c r="K424" s="9">
        <v>14.99</v>
      </c>
      <c r="L424" s="9">
        <v>14.99</v>
      </c>
      <c r="M424" s="4">
        <v>6131</v>
      </c>
      <c r="N424" s="4" t="s">
        <v>2665</v>
      </c>
      <c r="O424" s="4" t="s">
        <v>2519</v>
      </c>
      <c r="P424" s="4" t="s">
        <v>2666</v>
      </c>
      <c r="Q424" s="4" t="s">
        <v>2775</v>
      </c>
      <c r="R424" s="4"/>
      <c r="S424" s="4"/>
      <c r="T424" s="4"/>
    </row>
    <row r="425" spans="1:20" ht="15" customHeight="1" x14ac:dyDescent="0.25">
      <c r="A425" s="4" t="s">
        <v>2489</v>
      </c>
      <c r="B425" s="2" t="s">
        <v>2487</v>
      </c>
      <c r="C425" s="2" t="s">
        <v>2488</v>
      </c>
      <c r="D425" s="5" t="s">
        <v>2490</v>
      </c>
      <c r="E425" s="4" t="s">
        <v>2491</v>
      </c>
      <c r="F425" s="6">
        <v>14277629</v>
      </c>
      <c r="G425" s="3">
        <v>14277629</v>
      </c>
      <c r="H425" s="7">
        <v>46094502884</v>
      </c>
      <c r="I425" s="8" t="s">
        <v>1506</v>
      </c>
      <c r="J425" s="4">
        <v>1</v>
      </c>
      <c r="K425" s="9">
        <v>11.99</v>
      </c>
      <c r="L425" s="9">
        <v>11.99</v>
      </c>
      <c r="M425" s="4" t="s">
        <v>3185</v>
      </c>
      <c r="N425" s="4" t="s">
        <v>2501</v>
      </c>
      <c r="O425" s="4" t="s">
        <v>2519</v>
      </c>
      <c r="P425" s="4" t="s">
        <v>2666</v>
      </c>
      <c r="Q425" s="4" t="s">
        <v>2667</v>
      </c>
      <c r="R425" s="4" t="s">
        <v>2552</v>
      </c>
      <c r="S425" s="4" t="s">
        <v>3186</v>
      </c>
      <c r="T425" s="4" t="str">
        <f>HYPERLINK("http://slimages.macys.com/is/image/MCY/2568960 ")</f>
        <v xml:space="preserve">http://slimages.macys.com/is/image/MCY/2568960 </v>
      </c>
    </row>
    <row r="426" spans="1:20" ht="15" customHeight="1" x14ac:dyDescent="0.25">
      <c r="A426" s="4" t="s">
        <v>2489</v>
      </c>
      <c r="B426" s="2" t="s">
        <v>2487</v>
      </c>
      <c r="C426" s="2" t="s">
        <v>2488</v>
      </c>
      <c r="D426" s="5" t="s">
        <v>2490</v>
      </c>
      <c r="E426" s="4" t="s">
        <v>2491</v>
      </c>
      <c r="F426" s="6">
        <v>14277629</v>
      </c>
      <c r="G426" s="3">
        <v>14277629</v>
      </c>
      <c r="H426" s="7">
        <v>193666757958</v>
      </c>
      <c r="I426" s="8" t="s">
        <v>1507</v>
      </c>
      <c r="J426" s="4">
        <v>1</v>
      </c>
      <c r="K426" s="9">
        <v>14.99</v>
      </c>
      <c r="L426" s="9">
        <v>14.99</v>
      </c>
      <c r="M426" s="4" t="s">
        <v>1508</v>
      </c>
      <c r="N426" s="4" t="s">
        <v>2501</v>
      </c>
      <c r="O426" s="4"/>
      <c r="P426" s="4" t="s">
        <v>2666</v>
      </c>
      <c r="Q426" s="4" t="s">
        <v>2667</v>
      </c>
      <c r="R426" s="4"/>
      <c r="S426" s="4"/>
      <c r="T426" s="4" t="str">
        <f>HYPERLINK("http://slimages.macys.com/is/image/MCY/20707580 ")</f>
        <v xml:space="preserve">http://slimages.macys.com/is/image/MCY/20707580 </v>
      </c>
    </row>
    <row r="427" spans="1:20" ht="15" customHeight="1" x14ac:dyDescent="0.25">
      <c r="A427" s="4" t="s">
        <v>2489</v>
      </c>
      <c r="B427" s="2" t="s">
        <v>2487</v>
      </c>
      <c r="C427" s="2" t="s">
        <v>2488</v>
      </c>
      <c r="D427" s="5" t="s">
        <v>2490</v>
      </c>
      <c r="E427" s="4" t="s">
        <v>2491</v>
      </c>
      <c r="F427" s="6">
        <v>14277629</v>
      </c>
      <c r="G427" s="3">
        <v>14277629</v>
      </c>
      <c r="H427" s="7">
        <v>194135594531</v>
      </c>
      <c r="I427" s="8" t="s">
        <v>1509</v>
      </c>
      <c r="J427" s="4">
        <v>1</v>
      </c>
      <c r="K427" s="9">
        <v>12.71</v>
      </c>
      <c r="L427" s="9">
        <v>12.71</v>
      </c>
      <c r="M427" s="4" t="s">
        <v>1510</v>
      </c>
      <c r="N427" s="4"/>
      <c r="O427" s="4" t="s">
        <v>2524</v>
      </c>
      <c r="P427" s="4" t="s">
        <v>2657</v>
      </c>
      <c r="Q427" s="4" t="s">
        <v>2716</v>
      </c>
      <c r="R427" s="4"/>
      <c r="S427" s="4"/>
      <c r="T427" s="4" t="str">
        <f>HYPERLINK("http://slimages.macys.com/is/image/MCY/19973736 ")</f>
        <v xml:space="preserve">http://slimages.macys.com/is/image/MCY/19973736 </v>
      </c>
    </row>
    <row r="428" spans="1:20" ht="15" customHeight="1" x14ac:dyDescent="0.25">
      <c r="A428" s="4" t="s">
        <v>2489</v>
      </c>
      <c r="B428" s="2" t="s">
        <v>2487</v>
      </c>
      <c r="C428" s="2" t="s">
        <v>2488</v>
      </c>
      <c r="D428" s="5" t="s">
        <v>2490</v>
      </c>
      <c r="E428" s="4" t="s">
        <v>2491</v>
      </c>
      <c r="F428" s="6">
        <v>14277629</v>
      </c>
      <c r="G428" s="3">
        <v>14277629</v>
      </c>
      <c r="H428" s="7">
        <v>193666722789</v>
      </c>
      <c r="I428" s="8" t="s">
        <v>1511</v>
      </c>
      <c r="J428" s="4">
        <v>1</v>
      </c>
      <c r="K428" s="9">
        <v>14.99</v>
      </c>
      <c r="L428" s="9">
        <v>14.99</v>
      </c>
      <c r="M428" s="4" t="s">
        <v>3043</v>
      </c>
      <c r="N428" s="4" t="s">
        <v>2548</v>
      </c>
      <c r="O428" s="4" t="s">
        <v>2498</v>
      </c>
      <c r="P428" s="4" t="s">
        <v>2666</v>
      </c>
      <c r="Q428" s="4" t="s">
        <v>2775</v>
      </c>
      <c r="R428" s="4"/>
      <c r="S428" s="4"/>
      <c r="T428" s="4" t="str">
        <f>HYPERLINK("http://slimages.macys.com/is/image/MCY/18619090 ")</f>
        <v xml:space="preserve">http://slimages.macys.com/is/image/MCY/18619090 </v>
      </c>
    </row>
    <row r="429" spans="1:20" ht="15" customHeight="1" x14ac:dyDescent="0.25">
      <c r="A429" s="4" t="s">
        <v>2489</v>
      </c>
      <c r="B429" s="2" t="s">
        <v>2487</v>
      </c>
      <c r="C429" s="2" t="s">
        <v>2488</v>
      </c>
      <c r="D429" s="5" t="s">
        <v>2490</v>
      </c>
      <c r="E429" s="4" t="s">
        <v>2491</v>
      </c>
      <c r="F429" s="6">
        <v>14277629</v>
      </c>
      <c r="G429" s="3">
        <v>14277629</v>
      </c>
      <c r="H429" s="7">
        <v>733004128073</v>
      </c>
      <c r="I429" s="8" t="s">
        <v>1512</v>
      </c>
      <c r="J429" s="4">
        <v>1</v>
      </c>
      <c r="K429" s="9">
        <v>23.99</v>
      </c>
      <c r="L429" s="9">
        <v>23.99</v>
      </c>
      <c r="M429" s="4" t="s">
        <v>1513</v>
      </c>
      <c r="N429" s="4" t="s">
        <v>2731</v>
      </c>
      <c r="O429" s="4">
        <v>6</v>
      </c>
      <c r="P429" s="4" t="s">
        <v>2520</v>
      </c>
      <c r="Q429" s="4" t="s">
        <v>2528</v>
      </c>
      <c r="R429" s="4"/>
      <c r="S429" s="4"/>
      <c r="T429" s="4" t="str">
        <f>HYPERLINK("http://slimages.macys.com/is/image/MCY/19844153 ")</f>
        <v xml:space="preserve">http://slimages.macys.com/is/image/MCY/19844153 </v>
      </c>
    </row>
    <row r="430" spans="1:20" ht="15" customHeight="1" x14ac:dyDescent="0.25">
      <c r="A430" s="4" t="s">
        <v>2489</v>
      </c>
      <c r="B430" s="2" t="s">
        <v>2487</v>
      </c>
      <c r="C430" s="2" t="s">
        <v>2488</v>
      </c>
      <c r="D430" s="5" t="s">
        <v>2490</v>
      </c>
      <c r="E430" s="4" t="s">
        <v>2491</v>
      </c>
      <c r="F430" s="6">
        <v>14277629</v>
      </c>
      <c r="G430" s="3">
        <v>14277629</v>
      </c>
      <c r="H430" s="7">
        <v>733003622428</v>
      </c>
      <c r="I430" s="8" t="s">
        <v>3253</v>
      </c>
      <c r="J430" s="4">
        <v>1</v>
      </c>
      <c r="K430" s="9">
        <v>6.99</v>
      </c>
      <c r="L430" s="9">
        <v>6.99</v>
      </c>
      <c r="M430" s="4" t="s">
        <v>2905</v>
      </c>
      <c r="N430" s="4" t="s">
        <v>2642</v>
      </c>
      <c r="O430" s="4"/>
      <c r="P430" s="4" t="s">
        <v>2503</v>
      </c>
      <c r="Q430" s="4" t="s">
        <v>2504</v>
      </c>
      <c r="R430" s="4"/>
      <c r="S430" s="4"/>
      <c r="T430" s="4" t="str">
        <f>HYPERLINK("http://slimages.macys.com/is/image/MCY/19383731 ")</f>
        <v xml:space="preserve">http://slimages.macys.com/is/image/MCY/19383731 </v>
      </c>
    </row>
    <row r="431" spans="1:20" ht="15" customHeight="1" x14ac:dyDescent="0.25">
      <c r="A431" s="4" t="s">
        <v>2489</v>
      </c>
      <c r="B431" s="2" t="s">
        <v>2487</v>
      </c>
      <c r="C431" s="2" t="s">
        <v>2488</v>
      </c>
      <c r="D431" s="5" t="s">
        <v>2490</v>
      </c>
      <c r="E431" s="4" t="s">
        <v>2491</v>
      </c>
      <c r="F431" s="6">
        <v>14277629</v>
      </c>
      <c r="G431" s="3">
        <v>14277629</v>
      </c>
      <c r="H431" s="7">
        <v>733003926700</v>
      </c>
      <c r="I431" s="8" t="s">
        <v>3210</v>
      </c>
      <c r="J431" s="4">
        <v>3</v>
      </c>
      <c r="K431" s="9">
        <v>6.99</v>
      </c>
      <c r="L431" s="9">
        <v>20.97</v>
      </c>
      <c r="M431" s="4" t="s">
        <v>2941</v>
      </c>
      <c r="N431" s="4" t="s">
        <v>2682</v>
      </c>
      <c r="O431" s="4" t="s">
        <v>2493</v>
      </c>
      <c r="P431" s="4" t="s">
        <v>2503</v>
      </c>
      <c r="Q431" s="4" t="s">
        <v>2504</v>
      </c>
      <c r="R431" s="4"/>
      <c r="S431" s="4"/>
      <c r="T431" s="4" t="str">
        <f>HYPERLINK("http://slimages.macys.com/is/image/MCY/19507809 ")</f>
        <v xml:space="preserve">http://slimages.macys.com/is/image/MCY/19507809 </v>
      </c>
    </row>
    <row r="432" spans="1:20" ht="15" customHeight="1" x14ac:dyDescent="0.25">
      <c r="A432" s="4" t="s">
        <v>2489</v>
      </c>
      <c r="B432" s="2" t="s">
        <v>2487</v>
      </c>
      <c r="C432" s="2" t="s">
        <v>2488</v>
      </c>
      <c r="D432" s="5" t="s">
        <v>2490</v>
      </c>
      <c r="E432" s="4" t="s">
        <v>2491</v>
      </c>
      <c r="F432" s="6">
        <v>14277629</v>
      </c>
      <c r="G432" s="3">
        <v>14277629</v>
      </c>
      <c r="H432" s="7">
        <v>733004765025</v>
      </c>
      <c r="I432" s="8" t="s">
        <v>3427</v>
      </c>
      <c r="J432" s="4">
        <v>1</v>
      </c>
      <c r="K432" s="9">
        <v>21.99</v>
      </c>
      <c r="L432" s="9">
        <v>21.99</v>
      </c>
      <c r="M432" s="4" t="s">
        <v>3428</v>
      </c>
      <c r="N432" s="4" t="s">
        <v>2598</v>
      </c>
      <c r="O432" s="4" t="s">
        <v>2498</v>
      </c>
      <c r="P432" s="4" t="s">
        <v>2515</v>
      </c>
      <c r="Q432" s="4" t="s">
        <v>2672</v>
      </c>
      <c r="R432" s="4"/>
      <c r="S432" s="4"/>
      <c r="T432" s="4" t="str">
        <f>HYPERLINK("http://slimages.macys.com/is/image/MCY/20530565 ")</f>
        <v xml:space="preserve">http://slimages.macys.com/is/image/MCY/20530565 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0"/>
  <sheetViews>
    <sheetView workbookViewId="0">
      <selection activeCell="A41" sqref="A41"/>
    </sheetView>
  </sheetViews>
  <sheetFormatPr defaultRowHeight="15" x14ac:dyDescent="0.25"/>
  <cols>
    <col min="1" max="1" width="19.85546875" bestFit="1" customWidth="1"/>
    <col min="2" max="2" width="34.42578125" bestFit="1" customWidth="1"/>
    <col min="3" max="3" width="26" bestFit="1" customWidth="1"/>
    <col min="4" max="4" width="8.140625" bestFit="1" customWidth="1"/>
    <col min="5" max="5" width="9.85546875" bestFit="1" customWidth="1"/>
    <col min="6" max="7" width="9" bestFit="1" customWidth="1"/>
    <col min="8" max="8" width="13.140625" bestFit="1" customWidth="1"/>
    <col min="9" max="9" width="65.7109375" bestFit="1" customWidth="1"/>
    <col min="10" max="11" width="8.7109375" bestFit="1" customWidth="1"/>
    <col min="12" max="12" width="14.7109375" bestFit="1" customWidth="1"/>
    <col min="13" max="13" width="17.5703125" bestFit="1" customWidth="1"/>
    <col min="14" max="14" width="12.28515625" bestFit="1" customWidth="1"/>
    <col min="15" max="15" width="11.28515625" bestFit="1" customWidth="1"/>
    <col min="16" max="16" width="15.7109375" bestFit="1" customWidth="1"/>
    <col min="17" max="17" width="39.42578125" bestFit="1" customWidth="1"/>
    <col min="18" max="18" width="9.85546875" bestFit="1" customWidth="1"/>
    <col min="19" max="19" width="46.7109375" bestFit="1" customWidth="1"/>
    <col min="20" max="20" width="42.85546875" bestFit="1" customWidth="1"/>
  </cols>
  <sheetData>
    <row r="1" spans="1:20" ht="24" x14ac:dyDescent="0.25">
      <c r="A1" s="1" t="s">
        <v>2480</v>
      </c>
      <c r="B1" s="1" t="s">
        <v>2482</v>
      </c>
      <c r="C1" s="1" t="s">
        <v>2483</v>
      </c>
      <c r="D1" s="1" t="s">
        <v>2572</v>
      </c>
      <c r="E1" s="1" t="s">
        <v>2573</v>
      </c>
      <c r="F1" s="1" t="s">
        <v>2481</v>
      </c>
      <c r="G1" s="1" t="s">
        <v>2574</v>
      </c>
      <c r="H1" s="1" t="s">
        <v>2575</v>
      </c>
      <c r="I1" s="1" t="s">
        <v>2576</v>
      </c>
      <c r="J1" s="1" t="s">
        <v>2577</v>
      </c>
      <c r="K1" s="1" t="s">
        <v>2485</v>
      </c>
      <c r="L1" s="1" t="s">
        <v>2578</v>
      </c>
      <c r="M1" s="1" t="s">
        <v>2579</v>
      </c>
      <c r="N1" s="1" t="s">
        <v>2580</v>
      </c>
      <c r="O1" s="1" t="s">
        <v>2581</v>
      </c>
      <c r="P1" s="1" t="s">
        <v>2582</v>
      </c>
      <c r="Q1" s="1" t="s">
        <v>2583</v>
      </c>
      <c r="R1" s="1" t="s">
        <v>2584</v>
      </c>
      <c r="S1" s="1" t="s">
        <v>2585</v>
      </c>
      <c r="T1" s="1" t="s">
        <v>2586</v>
      </c>
    </row>
    <row r="2" spans="1:20" ht="15" customHeight="1" x14ac:dyDescent="0.25">
      <c r="A2" s="4" t="s">
        <v>2489</v>
      </c>
      <c r="B2" s="2" t="s">
        <v>2487</v>
      </c>
      <c r="C2" s="2" t="s">
        <v>2488</v>
      </c>
      <c r="D2" s="5" t="s">
        <v>2490</v>
      </c>
      <c r="E2" s="4" t="s">
        <v>2491</v>
      </c>
      <c r="F2" s="6">
        <v>14271949</v>
      </c>
      <c r="G2" s="3">
        <v>14271949</v>
      </c>
      <c r="H2" s="7">
        <v>733003926816</v>
      </c>
      <c r="I2" s="8" t="s">
        <v>2599</v>
      </c>
      <c r="J2" s="4">
        <v>1</v>
      </c>
      <c r="K2" s="9">
        <v>5.99</v>
      </c>
      <c r="L2" s="9">
        <v>5.99</v>
      </c>
      <c r="M2" s="4" t="s">
        <v>1632</v>
      </c>
      <c r="N2" s="4" t="s">
        <v>2600</v>
      </c>
      <c r="O2" s="4" t="s">
        <v>2502</v>
      </c>
      <c r="P2" s="4" t="s">
        <v>2503</v>
      </c>
      <c r="Q2" s="4" t="s">
        <v>2504</v>
      </c>
      <c r="R2" s="4"/>
      <c r="S2" s="4"/>
      <c r="T2" s="4" t="str">
        <f>HYPERLINK("http://slimages.macys.com/is/image/MCY/903950 ")</f>
        <v xml:space="preserve">http://slimages.macys.com/is/image/MCY/903950 </v>
      </c>
    </row>
    <row r="3" spans="1:20" ht="15" customHeight="1" x14ac:dyDescent="0.25">
      <c r="A3" s="4" t="s">
        <v>2489</v>
      </c>
      <c r="B3" s="2" t="s">
        <v>2487</v>
      </c>
      <c r="C3" s="2" t="s">
        <v>2488</v>
      </c>
      <c r="D3" s="5" t="s">
        <v>2490</v>
      </c>
      <c r="E3" s="4" t="s">
        <v>2491</v>
      </c>
      <c r="F3" s="6">
        <v>14271949</v>
      </c>
      <c r="G3" s="3">
        <v>14271949</v>
      </c>
      <c r="H3" s="7">
        <v>192042845609</v>
      </c>
      <c r="I3" s="8" t="s">
        <v>1633</v>
      </c>
      <c r="J3" s="4">
        <v>1</v>
      </c>
      <c r="K3" s="9">
        <v>22.5</v>
      </c>
      <c r="L3" s="9">
        <v>22.5</v>
      </c>
      <c r="M3" s="4" t="s">
        <v>1634</v>
      </c>
      <c r="N3" s="4" t="s">
        <v>2523</v>
      </c>
      <c r="O3" s="4"/>
      <c r="P3" s="4" t="s">
        <v>2655</v>
      </c>
      <c r="Q3" s="4" t="s">
        <v>2643</v>
      </c>
      <c r="R3" s="4" t="s">
        <v>2552</v>
      </c>
      <c r="S3" s="4" t="s">
        <v>2721</v>
      </c>
      <c r="T3" s="4" t="str">
        <f>HYPERLINK("http://slimages.macys.com/is/image/MCY/13742760 ")</f>
        <v xml:space="preserve">http://slimages.macys.com/is/image/MCY/13742760 </v>
      </c>
    </row>
    <row r="4" spans="1:20" ht="15" customHeight="1" x14ac:dyDescent="0.25">
      <c r="A4" s="4" t="s">
        <v>2489</v>
      </c>
      <c r="B4" s="2" t="s">
        <v>2487</v>
      </c>
      <c r="C4" s="2" t="s">
        <v>2488</v>
      </c>
      <c r="D4" s="5" t="s">
        <v>2490</v>
      </c>
      <c r="E4" s="4" t="s">
        <v>2491</v>
      </c>
      <c r="F4" s="6">
        <v>14271949</v>
      </c>
      <c r="G4" s="3">
        <v>14271949</v>
      </c>
      <c r="H4" s="7">
        <v>194931030431</v>
      </c>
      <c r="I4" s="8" t="s">
        <v>3376</v>
      </c>
      <c r="J4" s="4">
        <v>1</v>
      </c>
      <c r="K4" s="9">
        <v>17</v>
      </c>
      <c r="L4" s="9">
        <v>17</v>
      </c>
      <c r="M4" s="4" t="s">
        <v>2879</v>
      </c>
      <c r="N4" s="4" t="s">
        <v>2523</v>
      </c>
      <c r="O4" s="4"/>
      <c r="P4" s="4" t="s">
        <v>2622</v>
      </c>
      <c r="Q4" s="4" t="s">
        <v>2643</v>
      </c>
      <c r="R4" s="4"/>
      <c r="S4" s="4"/>
      <c r="T4" s="4" t="str">
        <f>HYPERLINK("http://slimages.macys.com/is/image/MCY/19739137 ")</f>
        <v xml:space="preserve">http://slimages.macys.com/is/image/MCY/19739137 </v>
      </c>
    </row>
    <row r="5" spans="1:20" ht="15" customHeight="1" x14ac:dyDescent="0.25">
      <c r="A5" s="4" t="s">
        <v>2489</v>
      </c>
      <c r="B5" s="2" t="s">
        <v>2487</v>
      </c>
      <c r="C5" s="2" t="s">
        <v>2488</v>
      </c>
      <c r="D5" s="5" t="s">
        <v>2490</v>
      </c>
      <c r="E5" s="4" t="s">
        <v>2491</v>
      </c>
      <c r="F5" s="6">
        <v>14271949</v>
      </c>
      <c r="G5" s="3">
        <v>14271949</v>
      </c>
      <c r="H5" s="7">
        <v>194955949733</v>
      </c>
      <c r="I5" s="8" t="s">
        <v>1635</v>
      </c>
      <c r="J5" s="4">
        <v>1</v>
      </c>
      <c r="K5" s="9">
        <v>22.99</v>
      </c>
      <c r="L5" s="9">
        <v>22.99</v>
      </c>
      <c r="M5" s="4" t="s">
        <v>1636</v>
      </c>
      <c r="N5" s="4" t="s">
        <v>2638</v>
      </c>
      <c r="O5" s="4" t="s">
        <v>2519</v>
      </c>
      <c r="P5" s="4" t="s">
        <v>2499</v>
      </c>
      <c r="Q5" s="4" t="s">
        <v>2568</v>
      </c>
      <c r="R5" s="4"/>
      <c r="S5" s="4"/>
      <c r="T5" s="4" t="str">
        <f>HYPERLINK("http://slimages.macys.com/is/image/MCY/18249695 ")</f>
        <v xml:space="preserve">http://slimages.macys.com/is/image/MCY/18249695 </v>
      </c>
    </row>
    <row r="6" spans="1:20" ht="15" customHeight="1" x14ac:dyDescent="0.25">
      <c r="A6" s="4" t="s">
        <v>2489</v>
      </c>
      <c r="B6" s="2" t="s">
        <v>2487</v>
      </c>
      <c r="C6" s="2" t="s">
        <v>2488</v>
      </c>
      <c r="D6" s="5" t="s">
        <v>2490</v>
      </c>
      <c r="E6" s="4" t="s">
        <v>2491</v>
      </c>
      <c r="F6" s="6">
        <v>14271949</v>
      </c>
      <c r="G6" s="3">
        <v>14271949</v>
      </c>
      <c r="H6" s="7">
        <v>194135100077</v>
      </c>
      <c r="I6" s="8" t="s">
        <v>1637</v>
      </c>
      <c r="J6" s="4">
        <v>1</v>
      </c>
      <c r="K6" s="9">
        <v>17.09</v>
      </c>
      <c r="L6" s="9">
        <v>17.09</v>
      </c>
      <c r="M6" s="4" t="s">
        <v>1638</v>
      </c>
      <c r="N6" s="4" t="s">
        <v>2567</v>
      </c>
      <c r="O6" s="4" t="s">
        <v>2746</v>
      </c>
      <c r="P6" s="4" t="s">
        <v>2494</v>
      </c>
      <c r="Q6" s="4" t="s">
        <v>2495</v>
      </c>
      <c r="R6" s="4"/>
      <c r="S6" s="4"/>
      <c r="T6" s="4" t="str">
        <f>HYPERLINK("http://slimages.macys.com/is/image/MCY/18846946 ")</f>
        <v xml:space="preserve">http://slimages.macys.com/is/image/MCY/18846946 </v>
      </c>
    </row>
    <row r="7" spans="1:20" ht="15" customHeight="1" x14ac:dyDescent="0.25">
      <c r="A7" s="4" t="s">
        <v>2489</v>
      </c>
      <c r="B7" s="2" t="s">
        <v>2487</v>
      </c>
      <c r="C7" s="2" t="s">
        <v>2488</v>
      </c>
      <c r="D7" s="5" t="s">
        <v>2490</v>
      </c>
      <c r="E7" s="4" t="s">
        <v>2491</v>
      </c>
      <c r="F7" s="6">
        <v>14271949</v>
      </c>
      <c r="G7" s="3">
        <v>14271949</v>
      </c>
      <c r="H7" s="7">
        <v>194135506275</v>
      </c>
      <c r="I7" s="8" t="s">
        <v>1639</v>
      </c>
      <c r="J7" s="4">
        <v>1</v>
      </c>
      <c r="K7" s="9">
        <v>11.1</v>
      </c>
      <c r="L7" s="9">
        <v>11.1</v>
      </c>
      <c r="M7" s="4" t="s">
        <v>1640</v>
      </c>
      <c r="N7" s="4" t="s">
        <v>2497</v>
      </c>
      <c r="O7" s="4" t="s">
        <v>2705</v>
      </c>
      <c r="P7" s="4" t="s">
        <v>2657</v>
      </c>
      <c r="Q7" s="4" t="s">
        <v>2658</v>
      </c>
      <c r="R7" s="4"/>
      <c r="S7" s="4"/>
      <c r="T7" s="4" t="str">
        <f>HYPERLINK("http://slimages.macys.com/is/image/MCY/19847035 ")</f>
        <v xml:space="preserve">http://slimages.macys.com/is/image/MCY/19847035 </v>
      </c>
    </row>
    <row r="8" spans="1:20" ht="15" customHeight="1" x14ac:dyDescent="0.25">
      <c r="A8" s="4" t="s">
        <v>2489</v>
      </c>
      <c r="B8" s="2" t="s">
        <v>2487</v>
      </c>
      <c r="C8" s="2" t="s">
        <v>2488</v>
      </c>
      <c r="D8" s="5" t="s">
        <v>2490</v>
      </c>
      <c r="E8" s="4" t="s">
        <v>2491</v>
      </c>
      <c r="F8" s="6">
        <v>14271949</v>
      </c>
      <c r="G8" s="3">
        <v>14271949</v>
      </c>
      <c r="H8" s="7">
        <v>762120162609</v>
      </c>
      <c r="I8" s="8" t="s">
        <v>1641</v>
      </c>
      <c r="J8" s="4">
        <v>1</v>
      </c>
      <c r="K8" s="9">
        <v>7.99</v>
      </c>
      <c r="L8" s="9">
        <v>7.99</v>
      </c>
      <c r="M8" s="4" t="s">
        <v>1178</v>
      </c>
      <c r="N8" s="4" t="s">
        <v>2514</v>
      </c>
      <c r="O8" s="4" t="s">
        <v>2628</v>
      </c>
      <c r="P8" s="4" t="s">
        <v>2602</v>
      </c>
      <c r="Q8" s="4" t="s">
        <v>2528</v>
      </c>
      <c r="R8" s="4"/>
      <c r="S8" s="4"/>
      <c r="T8" s="4" t="str">
        <f>HYPERLINK("http://slimages.macys.com/is/image/MCY/20819695 ")</f>
        <v xml:space="preserve">http://slimages.macys.com/is/image/MCY/20819695 </v>
      </c>
    </row>
    <row r="9" spans="1:20" ht="15" customHeight="1" x14ac:dyDescent="0.25">
      <c r="A9" s="4" t="s">
        <v>2489</v>
      </c>
      <c r="B9" s="2" t="s">
        <v>2487</v>
      </c>
      <c r="C9" s="2" t="s">
        <v>2488</v>
      </c>
      <c r="D9" s="5" t="s">
        <v>2490</v>
      </c>
      <c r="E9" s="4" t="s">
        <v>2491</v>
      </c>
      <c r="F9" s="6">
        <v>14271949</v>
      </c>
      <c r="G9" s="3">
        <v>14271949</v>
      </c>
      <c r="H9" s="7">
        <v>807421102760</v>
      </c>
      <c r="I9" s="8" t="s">
        <v>1642</v>
      </c>
      <c r="J9" s="4">
        <v>1</v>
      </c>
      <c r="K9" s="9">
        <v>23.64</v>
      </c>
      <c r="L9" s="9">
        <v>23.64</v>
      </c>
      <c r="M9" s="4" t="s">
        <v>2563</v>
      </c>
      <c r="N9" s="4" t="s">
        <v>2505</v>
      </c>
      <c r="O9" s="4" t="s">
        <v>2532</v>
      </c>
      <c r="P9" s="4" t="s">
        <v>2564</v>
      </c>
      <c r="Q9" s="4" t="s">
        <v>2507</v>
      </c>
      <c r="R9" s="4"/>
      <c r="S9" s="4"/>
      <c r="T9" s="4" t="str">
        <f>HYPERLINK("http://slimages.macys.com/is/image/MCY/19699892 ")</f>
        <v xml:space="preserve">http://slimages.macys.com/is/image/MCY/19699892 </v>
      </c>
    </row>
    <row r="10" spans="1:20" ht="15" customHeight="1" x14ac:dyDescent="0.25">
      <c r="A10" s="4" t="s">
        <v>2489</v>
      </c>
      <c r="B10" s="2" t="s">
        <v>2487</v>
      </c>
      <c r="C10" s="2" t="s">
        <v>2488</v>
      </c>
      <c r="D10" s="5" t="s">
        <v>2490</v>
      </c>
      <c r="E10" s="4" t="s">
        <v>2491</v>
      </c>
      <c r="F10" s="6">
        <v>14271949</v>
      </c>
      <c r="G10" s="3">
        <v>14271949</v>
      </c>
      <c r="H10" s="7">
        <v>733004286810</v>
      </c>
      <c r="I10" s="8" t="s">
        <v>2796</v>
      </c>
      <c r="J10" s="4">
        <v>1</v>
      </c>
      <c r="K10" s="9">
        <v>9.99</v>
      </c>
      <c r="L10" s="9">
        <v>9.99</v>
      </c>
      <c r="M10" s="4" t="s">
        <v>2797</v>
      </c>
      <c r="N10" s="4" t="s">
        <v>2600</v>
      </c>
      <c r="O10" s="4" t="s">
        <v>2601</v>
      </c>
      <c r="P10" s="4" t="s">
        <v>2503</v>
      </c>
      <c r="Q10" s="4" t="s">
        <v>2504</v>
      </c>
      <c r="R10" s="4"/>
      <c r="S10" s="4"/>
      <c r="T10" s="4" t="str">
        <f>HYPERLINK("http://slimages.macys.com/is/image/MCY/19754322 ")</f>
        <v xml:space="preserve">http://slimages.macys.com/is/image/MCY/19754322 </v>
      </c>
    </row>
    <row r="11" spans="1:20" ht="15" customHeight="1" x14ac:dyDescent="0.25">
      <c r="A11" s="4" t="s">
        <v>2489</v>
      </c>
      <c r="B11" s="2" t="s">
        <v>2487</v>
      </c>
      <c r="C11" s="2" t="s">
        <v>2488</v>
      </c>
      <c r="D11" s="5" t="s">
        <v>2490</v>
      </c>
      <c r="E11" s="4" t="s">
        <v>2491</v>
      </c>
      <c r="F11" s="6">
        <v>14271949</v>
      </c>
      <c r="G11" s="3">
        <v>14271949</v>
      </c>
      <c r="H11" s="7">
        <v>194135728066</v>
      </c>
      <c r="I11" s="8" t="s">
        <v>1643</v>
      </c>
      <c r="J11" s="4">
        <v>1</v>
      </c>
      <c r="K11" s="9">
        <v>14.56</v>
      </c>
      <c r="L11" s="9">
        <v>14.56</v>
      </c>
      <c r="M11" s="4" t="s">
        <v>1644</v>
      </c>
      <c r="N11" s="4" t="s">
        <v>2508</v>
      </c>
      <c r="O11" s="4" t="s">
        <v>2559</v>
      </c>
      <c r="P11" s="4" t="s">
        <v>2494</v>
      </c>
      <c r="Q11" s="4" t="s">
        <v>2495</v>
      </c>
      <c r="R11" s="4"/>
      <c r="S11" s="4"/>
      <c r="T11" s="4" t="str">
        <f>HYPERLINK("http://slimages.macys.com/is/image/MCY/20430232 ")</f>
        <v xml:space="preserve">http://slimages.macys.com/is/image/MCY/20430232 </v>
      </c>
    </row>
    <row r="12" spans="1:20" ht="15" customHeight="1" x14ac:dyDescent="0.25">
      <c r="A12" s="4" t="s">
        <v>2489</v>
      </c>
      <c r="B12" s="2" t="s">
        <v>2487</v>
      </c>
      <c r="C12" s="2" t="s">
        <v>2488</v>
      </c>
      <c r="D12" s="5" t="s">
        <v>2490</v>
      </c>
      <c r="E12" s="4" t="s">
        <v>2491</v>
      </c>
      <c r="F12" s="6">
        <v>14271949</v>
      </c>
      <c r="G12" s="3">
        <v>14271949</v>
      </c>
      <c r="H12" s="7">
        <v>762120113281</v>
      </c>
      <c r="I12" s="8" t="s">
        <v>2006</v>
      </c>
      <c r="J12" s="4">
        <v>1</v>
      </c>
      <c r="K12" s="9">
        <v>6.99</v>
      </c>
      <c r="L12" s="9">
        <v>6.99</v>
      </c>
      <c r="M12" s="4" t="s">
        <v>2660</v>
      </c>
      <c r="N12" s="4" t="s">
        <v>2598</v>
      </c>
      <c r="O12" s="4" t="s">
        <v>2493</v>
      </c>
      <c r="P12" s="4" t="s">
        <v>2503</v>
      </c>
      <c r="Q12" s="4" t="s">
        <v>2504</v>
      </c>
      <c r="R12" s="4"/>
      <c r="S12" s="4"/>
      <c r="T12" s="4" t="str">
        <f>HYPERLINK("http://slimages.macys.com/is/image/MCY/19977390 ")</f>
        <v xml:space="preserve">http://slimages.macys.com/is/image/MCY/19977390 </v>
      </c>
    </row>
    <row r="13" spans="1:20" ht="15" customHeight="1" x14ac:dyDescent="0.25">
      <c r="A13" s="4" t="s">
        <v>2489</v>
      </c>
      <c r="B13" s="2" t="s">
        <v>2487</v>
      </c>
      <c r="C13" s="2" t="s">
        <v>2488</v>
      </c>
      <c r="D13" s="5" t="s">
        <v>2490</v>
      </c>
      <c r="E13" s="4" t="s">
        <v>2491</v>
      </c>
      <c r="F13" s="6">
        <v>14271949</v>
      </c>
      <c r="G13" s="3">
        <v>14271949</v>
      </c>
      <c r="H13" s="7">
        <v>195883642253</v>
      </c>
      <c r="I13" s="8" t="s">
        <v>1809</v>
      </c>
      <c r="J13" s="4">
        <v>1</v>
      </c>
      <c r="K13" s="9">
        <v>7.99</v>
      </c>
      <c r="L13" s="9">
        <v>7.99</v>
      </c>
      <c r="M13" s="4" t="s">
        <v>1774</v>
      </c>
      <c r="N13" s="4" t="s">
        <v>2526</v>
      </c>
      <c r="O13" s="4">
        <v>2</v>
      </c>
      <c r="P13" s="4" t="s">
        <v>2506</v>
      </c>
      <c r="Q13" s="4" t="s">
        <v>2527</v>
      </c>
      <c r="R13" s="4"/>
      <c r="S13" s="4"/>
      <c r="T13" s="4" t="str">
        <f>HYPERLINK("http://slimages.macys.com/is/image/MCY/20726220 ")</f>
        <v xml:space="preserve">http://slimages.macys.com/is/image/MCY/20726220 </v>
      </c>
    </row>
    <row r="14" spans="1:20" ht="15" customHeight="1" x14ac:dyDescent="0.25">
      <c r="A14" s="4" t="s">
        <v>2489</v>
      </c>
      <c r="B14" s="2" t="s">
        <v>2487</v>
      </c>
      <c r="C14" s="2" t="s">
        <v>2488</v>
      </c>
      <c r="D14" s="5" t="s">
        <v>2490</v>
      </c>
      <c r="E14" s="4" t="s">
        <v>2491</v>
      </c>
      <c r="F14" s="6">
        <v>14271949</v>
      </c>
      <c r="G14" s="3">
        <v>14271949</v>
      </c>
      <c r="H14" s="7">
        <v>733002285969</v>
      </c>
      <c r="I14" s="8" t="s">
        <v>1645</v>
      </c>
      <c r="J14" s="4">
        <v>1</v>
      </c>
      <c r="K14" s="9">
        <v>5.99</v>
      </c>
      <c r="L14" s="9">
        <v>5.99</v>
      </c>
      <c r="M14" s="4" t="s">
        <v>2727</v>
      </c>
      <c r="N14" s="4" t="s">
        <v>2523</v>
      </c>
      <c r="O14" s="4" t="s">
        <v>2629</v>
      </c>
      <c r="P14" s="4" t="s">
        <v>2520</v>
      </c>
      <c r="Q14" s="4" t="s">
        <v>2528</v>
      </c>
      <c r="R14" s="4"/>
      <c r="S14" s="4"/>
      <c r="T14" s="4" t="str">
        <f>HYPERLINK("http://slimages.macys.com/is/image/MCY/21099931 ")</f>
        <v xml:space="preserve">http://slimages.macys.com/is/image/MCY/21099931 </v>
      </c>
    </row>
    <row r="15" spans="1:20" ht="15" customHeight="1" x14ac:dyDescent="0.25">
      <c r="A15" s="4" t="s">
        <v>2489</v>
      </c>
      <c r="B15" s="2" t="s">
        <v>2487</v>
      </c>
      <c r="C15" s="2" t="s">
        <v>2488</v>
      </c>
      <c r="D15" s="5" t="s">
        <v>2490</v>
      </c>
      <c r="E15" s="4" t="s">
        <v>2491</v>
      </c>
      <c r="F15" s="6">
        <v>14271949</v>
      </c>
      <c r="G15" s="3">
        <v>14271949</v>
      </c>
      <c r="H15" s="7">
        <v>195883922829</v>
      </c>
      <c r="I15" s="8" t="s">
        <v>2192</v>
      </c>
      <c r="J15" s="4">
        <v>1</v>
      </c>
      <c r="K15" s="9">
        <v>8.31</v>
      </c>
      <c r="L15" s="9">
        <v>8.31</v>
      </c>
      <c r="M15" s="4" t="s">
        <v>3228</v>
      </c>
      <c r="N15" s="4" t="s">
        <v>2632</v>
      </c>
      <c r="O15" s="4">
        <v>3</v>
      </c>
      <c r="P15" s="4" t="s">
        <v>2506</v>
      </c>
      <c r="Q15" s="4" t="s">
        <v>2527</v>
      </c>
      <c r="R15" s="4"/>
      <c r="S15" s="4"/>
      <c r="T15" s="4" t="str">
        <f>HYPERLINK("http://slimages.macys.com/is/image/MCY/20876630 ")</f>
        <v xml:space="preserve">http://slimages.macys.com/is/image/MCY/20876630 </v>
      </c>
    </row>
    <row r="16" spans="1:20" ht="15" customHeight="1" x14ac:dyDescent="0.25">
      <c r="A16" s="4" t="s">
        <v>2489</v>
      </c>
      <c r="B16" s="2" t="s">
        <v>2487</v>
      </c>
      <c r="C16" s="2" t="s">
        <v>2488</v>
      </c>
      <c r="D16" s="5" t="s">
        <v>2490</v>
      </c>
      <c r="E16" s="4" t="s">
        <v>2491</v>
      </c>
      <c r="F16" s="6">
        <v>14271949</v>
      </c>
      <c r="G16" s="3">
        <v>14271949</v>
      </c>
      <c r="H16" s="7">
        <v>762120213967</v>
      </c>
      <c r="I16" s="8" t="s">
        <v>1856</v>
      </c>
      <c r="J16" s="4">
        <v>1</v>
      </c>
      <c r="K16" s="9">
        <v>21.99</v>
      </c>
      <c r="L16" s="9">
        <v>21.99</v>
      </c>
      <c r="M16" s="4" t="s">
        <v>1857</v>
      </c>
      <c r="N16" s="4" t="s">
        <v>2565</v>
      </c>
      <c r="O16" s="4" t="s">
        <v>2555</v>
      </c>
      <c r="P16" s="4" t="s">
        <v>2515</v>
      </c>
      <c r="Q16" s="4" t="s">
        <v>2672</v>
      </c>
      <c r="R16" s="4"/>
      <c r="S16" s="4"/>
      <c r="T16" s="4" t="str">
        <f>HYPERLINK("http://slimages.macys.com/is/image/MCY/20411695 ")</f>
        <v xml:space="preserve">http://slimages.macys.com/is/image/MCY/20411695 </v>
      </c>
    </row>
    <row r="17" spans="1:20" ht="15" customHeight="1" x14ac:dyDescent="0.25">
      <c r="A17" s="4" t="s">
        <v>2489</v>
      </c>
      <c r="B17" s="2" t="s">
        <v>2487</v>
      </c>
      <c r="C17" s="2" t="s">
        <v>2488</v>
      </c>
      <c r="D17" s="5" t="s">
        <v>2490</v>
      </c>
      <c r="E17" s="4" t="s">
        <v>2491</v>
      </c>
      <c r="F17" s="6">
        <v>14271949</v>
      </c>
      <c r="G17" s="3">
        <v>14271949</v>
      </c>
      <c r="H17" s="7">
        <v>733004038464</v>
      </c>
      <c r="I17" s="8" t="s">
        <v>1646</v>
      </c>
      <c r="J17" s="4">
        <v>1</v>
      </c>
      <c r="K17" s="9">
        <v>7.99</v>
      </c>
      <c r="L17" s="9">
        <v>7.99</v>
      </c>
      <c r="M17" s="4" t="s">
        <v>3145</v>
      </c>
      <c r="N17" s="4" t="s">
        <v>2497</v>
      </c>
      <c r="O17" s="4">
        <v>6</v>
      </c>
      <c r="P17" s="4" t="s">
        <v>2602</v>
      </c>
      <c r="Q17" s="4" t="s">
        <v>2528</v>
      </c>
      <c r="R17" s="4"/>
      <c r="S17" s="4"/>
      <c r="T17" s="4" t="str">
        <f>HYPERLINK("http://slimages.macys.com/is/image/MCY/19072848 ")</f>
        <v xml:space="preserve">http://slimages.macys.com/is/image/MCY/19072848 </v>
      </c>
    </row>
    <row r="18" spans="1:20" ht="15" customHeight="1" x14ac:dyDescent="0.25">
      <c r="A18" s="4" t="s">
        <v>2489</v>
      </c>
      <c r="B18" s="2" t="s">
        <v>2487</v>
      </c>
      <c r="C18" s="2" t="s">
        <v>2488</v>
      </c>
      <c r="D18" s="5" t="s">
        <v>2490</v>
      </c>
      <c r="E18" s="4" t="s">
        <v>2491</v>
      </c>
      <c r="F18" s="6">
        <v>14271949</v>
      </c>
      <c r="G18" s="3">
        <v>14271949</v>
      </c>
      <c r="H18" s="7">
        <v>194135260795</v>
      </c>
      <c r="I18" s="8" t="s">
        <v>1647</v>
      </c>
      <c r="J18" s="4">
        <v>1</v>
      </c>
      <c r="K18" s="9">
        <v>9.1</v>
      </c>
      <c r="L18" s="9">
        <v>9.1</v>
      </c>
      <c r="M18" s="4" t="s">
        <v>1648</v>
      </c>
      <c r="N18" s="4" t="s">
        <v>2514</v>
      </c>
      <c r="O18" s="4" t="s">
        <v>2591</v>
      </c>
      <c r="P18" s="4" t="s">
        <v>2494</v>
      </c>
      <c r="Q18" s="4" t="s">
        <v>2495</v>
      </c>
      <c r="R18" s="4"/>
      <c r="S18" s="4"/>
      <c r="T18" s="4" t="str">
        <f>HYPERLINK("http://slimages.macys.com/is/image/MCY/19019133 ")</f>
        <v xml:space="preserve">http://slimages.macys.com/is/image/MCY/19019133 </v>
      </c>
    </row>
    <row r="19" spans="1:20" ht="15" customHeight="1" x14ac:dyDescent="0.25">
      <c r="A19" s="4" t="s">
        <v>2489</v>
      </c>
      <c r="B19" s="2" t="s">
        <v>2487</v>
      </c>
      <c r="C19" s="2" t="s">
        <v>2488</v>
      </c>
      <c r="D19" s="5" t="s">
        <v>2490</v>
      </c>
      <c r="E19" s="4" t="s">
        <v>2491</v>
      </c>
      <c r="F19" s="6">
        <v>14271949</v>
      </c>
      <c r="G19" s="3">
        <v>14271949</v>
      </c>
      <c r="H19" s="7">
        <v>81715951009</v>
      </c>
      <c r="I19" s="8" t="s">
        <v>1940</v>
      </c>
      <c r="J19" s="4">
        <v>31</v>
      </c>
      <c r="K19" s="9">
        <v>12.99</v>
      </c>
      <c r="L19" s="9">
        <v>402.69</v>
      </c>
      <c r="M19" s="4" t="s">
        <v>1941</v>
      </c>
      <c r="N19" s="4" t="s">
        <v>2614</v>
      </c>
      <c r="O19" s="4" t="s">
        <v>2538</v>
      </c>
      <c r="P19" s="4" t="s">
        <v>2539</v>
      </c>
      <c r="Q19" s="4" t="s">
        <v>2540</v>
      </c>
      <c r="R19" s="4"/>
      <c r="S19" s="4"/>
      <c r="T19" s="4" t="str">
        <f>HYPERLINK("http://slimages.macys.com/is/image/MCY/21145615 ")</f>
        <v xml:space="preserve">http://slimages.macys.com/is/image/MCY/21145615 </v>
      </c>
    </row>
    <row r="20" spans="1:20" ht="15" customHeight="1" x14ac:dyDescent="0.25">
      <c r="A20" s="4" t="s">
        <v>2489</v>
      </c>
      <c r="B20" s="2" t="s">
        <v>2487</v>
      </c>
      <c r="C20" s="2" t="s">
        <v>2488</v>
      </c>
      <c r="D20" s="5" t="s">
        <v>2490</v>
      </c>
      <c r="E20" s="4" t="s">
        <v>2491</v>
      </c>
      <c r="F20" s="6">
        <v>14271949</v>
      </c>
      <c r="G20" s="3">
        <v>14271949</v>
      </c>
      <c r="H20" s="7">
        <v>196027072547</v>
      </c>
      <c r="I20" s="8" t="s">
        <v>1885</v>
      </c>
      <c r="J20" s="4">
        <v>2</v>
      </c>
      <c r="K20" s="9">
        <v>19.989999999999998</v>
      </c>
      <c r="L20" s="9">
        <v>39.979999999999997</v>
      </c>
      <c r="M20" s="4" t="s">
        <v>1882</v>
      </c>
      <c r="N20" s="4" t="s">
        <v>2544</v>
      </c>
      <c r="O20" s="4" t="s">
        <v>2502</v>
      </c>
      <c r="P20" s="4" t="s">
        <v>2740</v>
      </c>
      <c r="Q20" s="4" t="s">
        <v>3119</v>
      </c>
      <c r="R20" s="4"/>
      <c r="S20" s="4"/>
      <c r="T20" s="4" t="str">
        <f>HYPERLINK("http://slimages.macys.com/is/image/MCY/20853842 ")</f>
        <v xml:space="preserve">http://slimages.macys.com/is/image/MCY/20853842 </v>
      </c>
    </row>
    <row r="21" spans="1:20" ht="15" customHeight="1" x14ac:dyDescent="0.25">
      <c r="A21" s="4" t="s">
        <v>2489</v>
      </c>
      <c r="B21" s="2" t="s">
        <v>2487</v>
      </c>
      <c r="C21" s="2" t="s">
        <v>2488</v>
      </c>
      <c r="D21" s="5" t="s">
        <v>2490</v>
      </c>
      <c r="E21" s="4" t="s">
        <v>2491</v>
      </c>
      <c r="F21" s="6">
        <v>14271949</v>
      </c>
      <c r="G21" s="3">
        <v>14271949</v>
      </c>
      <c r="H21" s="7">
        <v>762120017060</v>
      </c>
      <c r="I21" s="8" t="s">
        <v>2034</v>
      </c>
      <c r="J21" s="4">
        <v>1</v>
      </c>
      <c r="K21" s="9">
        <v>7.99</v>
      </c>
      <c r="L21" s="9">
        <v>7.99</v>
      </c>
      <c r="M21" s="4" t="s">
        <v>3439</v>
      </c>
      <c r="N21" s="4" t="s">
        <v>2565</v>
      </c>
      <c r="O21" s="4" t="s">
        <v>2650</v>
      </c>
      <c r="P21" s="4" t="s">
        <v>2503</v>
      </c>
      <c r="Q21" s="4" t="s">
        <v>2504</v>
      </c>
      <c r="R21" s="4"/>
      <c r="S21" s="4"/>
      <c r="T21" s="4" t="str">
        <f>HYPERLINK("http://slimages.macys.com/is/image/MCY/20436495 ")</f>
        <v xml:space="preserve">http://slimages.macys.com/is/image/MCY/20436495 </v>
      </c>
    </row>
    <row r="22" spans="1:20" ht="15" customHeight="1" x14ac:dyDescent="0.25">
      <c r="A22" s="4" t="s">
        <v>2489</v>
      </c>
      <c r="B22" s="2" t="s">
        <v>2487</v>
      </c>
      <c r="C22" s="2" t="s">
        <v>2488</v>
      </c>
      <c r="D22" s="5" t="s">
        <v>2490</v>
      </c>
      <c r="E22" s="4" t="s">
        <v>2491</v>
      </c>
      <c r="F22" s="6">
        <v>14271949</v>
      </c>
      <c r="G22" s="3">
        <v>14271949</v>
      </c>
      <c r="H22" s="7">
        <v>733003926939</v>
      </c>
      <c r="I22" s="8" t="s">
        <v>3390</v>
      </c>
      <c r="J22" s="4">
        <v>1</v>
      </c>
      <c r="K22" s="9">
        <v>5.99</v>
      </c>
      <c r="L22" s="9">
        <v>5.99</v>
      </c>
      <c r="M22" s="4" t="s">
        <v>3224</v>
      </c>
      <c r="N22" s="4" t="s">
        <v>2642</v>
      </c>
      <c r="O22" s="4" t="s">
        <v>2601</v>
      </c>
      <c r="P22" s="4" t="s">
        <v>2503</v>
      </c>
      <c r="Q22" s="4" t="s">
        <v>2504</v>
      </c>
      <c r="R22" s="4"/>
      <c r="S22" s="4"/>
      <c r="T22" s="4" t="str">
        <f>HYPERLINK("http://slimages.macys.com/is/image/MCY/903950 ")</f>
        <v xml:space="preserve">http://slimages.macys.com/is/image/MCY/903950 </v>
      </c>
    </row>
    <row r="23" spans="1:20" ht="15" customHeight="1" x14ac:dyDescent="0.25">
      <c r="A23" s="4" t="s">
        <v>2489</v>
      </c>
      <c r="B23" s="2" t="s">
        <v>2487</v>
      </c>
      <c r="C23" s="2" t="s">
        <v>2488</v>
      </c>
      <c r="D23" s="5" t="s">
        <v>2490</v>
      </c>
      <c r="E23" s="4" t="s">
        <v>2491</v>
      </c>
      <c r="F23" s="6">
        <v>14271949</v>
      </c>
      <c r="G23" s="3">
        <v>14271949</v>
      </c>
      <c r="H23" s="7">
        <v>194135270114</v>
      </c>
      <c r="I23" s="8" t="s">
        <v>3070</v>
      </c>
      <c r="J23" s="4">
        <v>1</v>
      </c>
      <c r="K23" s="9">
        <v>25.07</v>
      </c>
      <c r="L23" s="9">
        <v>25.07</v>
      </c>
      <c r="M23" s="4" t="s">
        <v>2999</v>
      </c>
      <c r="N23" s="4"/>
      <c r="O23" s="4" t="s">
        <v>2559</v>
      </c>
      <c r="P23" s="4" t="s">
        <v>2494</v>
      </c>
      <c r="Q23" s="4" t="s">
        <v>2560</v>
      </c>
      <c r="R23" s="4"/>
      <c r="S23" s="4"/>
      <c r="T23" s="4" t="str">
        <f>HYPERLINK("http://slimages.macys.com/is/image/MCY/19146444 ")</f>
        <v xml:space="preserve">http://slimages.macys.com/is/image/MCY/19146444 </v>
      </c>
    </row>
    <row r="24" spans="1:20" ht="15" customHeight="1" x14ac:dyDescent="0.25">
      <c r="A24" s="4" t="s">
        <v>2489</v>
      </c>
      <c r="B24" s="2" t="s">
        <v>2487</v>
      </c>
      <c r="C24" s="2" t="s">
        <v>2488</v>
      </c>
      <c r="D24" s="5" t="s">
        <v>2490</v>
      </c>
      <c r="E24" s="4" t="s">
        <v>2491</v>
      </c>
      <c r="F24" s="6">
        <v>14271949</v>
      </c>
      <c r="G24" s="3">
        <v>14271949</v>
      </c>
      <c r="H24" s="7">
        <v>192042758510</v>
      </c>
      <c r="I24" s="8" t="s">
        <v>1649</v>
      </c>
      <c r="J24" s="4">
        <v>1</v>
      </c>
      <c r="K24" s="9">
        <v>12.5</v>
      </c>
      <c r="L24" s="9">
        <v>12.5</v>
      </c>
      <c r="M24" s="4" t="s">
        <v>2621</v>
      </c>
      <c r="N24" s="4" t="s">
        <v>2501</v>
      </c>
      <c r="O24" s="4" t="s">
        <v>2720</v>
      </c>
      <c r="P24" s="4" t="s">
        <v>2622</v>
      </c>
      <c r="Q24" s="4" t="s">
        <v>2623</v>
      </c>
      <c r="R24" s="4" t="s">
        <v>2552</v>
      </c>
      <c r="S24" s="4" t="s">
        <v>2624</v>
      </c>
      <c r="T24" s="4" t="str">
        <f>HYPERLINK("http://slimages.macys.com/is/image/MCY/12954248 ")</f>
        <v xml:space="preserve">http://slimages.macys.com/is/image/MCY/12954248 </v>
      </c>
    </row>
    <row r="25" spans="1:20" ht="15" customHeight="1" x14ac:dyDescent="0.25">
      <c r="A25" s="4" t="s">
        <v>2489</v>
      </c>
      <c r="B25" s="2" t="s">
        <v>2487</v>
      </c>
      <c r="C25" s="2" t="s">
        <v>2488</v>
      </c>
      <c r="D25" s="5" t="s">
        <v>2490</v>
      </c>
      <c r="E25" s="4" t="s">
        <v>2491</v>
      </c>
      <c r="F25" s="6">
        <v>14271949</v>
      </c>
      <c r="G25" s="3">
        <v>14271949</v>
      </c>
      <c r="H25" s="7">
        <v>762120113038</v>
      </c>
      <c r="I25" s="8" t="s">
        <v>2120</v>
      </c>
      <c r="J25" s="4">
        <v>2</v>
      </c>
      <c r="K25" s="9">
        <v>6.99</v>
      </c>
      <c r="L25" s="9">
        <v>13.98</v>
      </c>
      <c r="M25" s="4" t="s">
        <v>3270</v>
      </c>
      <c r="N25" s="4" t="s">
        <v>2518</v>
      </c>
      <c r="O25" s="4" t="s">
        <v>2601</v>
      </c>
      <c r="P25" s="4" t="s">
        <v>2503</v>
      </c>
      <c r="Q25" s="4" t="s">
        <v>2504</v>
      </c>
      <c r="R25" s="4"/>
      <c r="S25" s="4"/>
      <c r="T25" s="4" t="str">
        <f>HYPERLINK("http://slimages.macys.com/is/image/MCY/19977414 ")</f>
        <v xml:space="preserve">http://slimages.macys.com/is/image/MCY/19977414 </v>
      </c>
    </row>
    <row r="26" spans="1:20" ht="15" customHeight="1" x14ac:dyDescent="0.25">
      <c r="A26" s="4" t="s">
        <v>2489</v>
      </c>
      <c r="B26" s="2" t="s">
        <v>2487</v>
      </c>
      <c r="C26" s="2" t="s">
        <v>2488</v>
      </c>
      <c r="D26" s="5" t="s">
        <v>2490</v>
      </c>
      <c r="E26" s="4" t="s">
        <v>2491</v>
      </c>
      <c r="F26" s="6">
        <v>14271949</v>
      </c>
      <c r="G26" s="3">
        <v>14271949</v>
      </c>
      <c r="H26" s="7">
        <v>733004782688</v>
      </c>
      <c r="I26" s="8" t="s">
        <v>1502</v>
      </c>
      <c r="J26" s="4">
        <v>1</v>
      </c>
      <c r="K26" s="9">
        <v>7.99</v>
      </c>
      <c r="L26" s="9">
        <v>7.99</v>
      </c>
      <c r="M26" s="4" t="s">
        <v>1503</v>
      </c>
      <c r="N26" s="4" t="s">
        <v>2561</v>
      </c>
      <c r="O26" s="4" t="s">
        <v>2629</v>
      </c>
      <c r="P26" s="4" t="s">
        <v>2602</v>
      </c>
      <c r="Q26" s="4" t="s">
        <v>2528</v>
      </c>
      <c r="R26" s="4"/>
      <c r="S26" s="4"/>
      <c r="T26" s="4" t="str">
        <f>HYPERLINK("http://slimages.macys.com/is/image/MCY/20450191 ")</f>
        <v xml:space="preserve">http://slimages.macys.com/is/image/MCY/20450191 </v>
      </c>
    </row>
    <row r="27" spans="1:20" ht="15" customHeight="1" x14ac:dyDescent="0.25">
      <c r="A27" s="4" t="s">
        <v>2489</v>
      </c>
      <c r="B27" s="2" t="s">
        <v>2487</v>
      </c>
      <c r="C27" s="2" t="s">
        <v>2488</v>
      </c>
      <c r="D27" s="5" t="s">
        <v>2490</v>
      </c>
      <c r="E27" s="4" t="s">
        <v>2491</v>
      </c>
      <c r="F27" s="6">
        <v>14271949</v>
      </c>
      <c r="G27" s="3">
        <v>14271949</v>
      </c>
      <c r="H27" s="7">
        <v>733004884337</v>
      </c>
      <c r="I27" s="8" t="s">
        <v>1650</v>
      </c>
      <c r="J27" s="4">
        <v>1</v>
      </c>
      <c r="K27" s="9">
        <v>6.99</v>
      </c>
      <c r="L27" s="9">
        <v>6.99</v>
      </c>
      <c r="M27" s="4" t="s">
        <v>1651</v>
      </c>
      <c r="N27" s="4" t="s">
        <v>3049</v>
      </c>
      <c r="O27" s="4" t="s">
        <v>2559</v>
      </c>
      <c r="P27" s="4" t="s">
        <v>2503</v>
      </c>
      <c r="Q27" s="4" t="s">
        <v>2504</v>
      </c>
      <c r="R27" s="4"/>
      <c r="S27" s="4"/>
      <c r="T27" s="4" t="str">
        <f>HYPERLINK("http://slimages.macys.com/is/image/MCY/1046188 ")</f>
        <v xml:space="preserve">http://slimages.macys.com/is/image/MCY/1046188 </v>
      </c>
    </row>
    <row r="28" spans="1:20" ht="15" customHeight="1" x14ac:dyDescent="0.25">
      <c r="A28" s="4" t="s">
        <v>2489</v>
      </c>
      <c r="B28" s="2" t="s">
        <v>2487</v>
      </c>
      <c r="C28" s="2" t="s">
        <v>2488</v>
      </c>
      <c r="D28" s="5" t="s">
        <v>2490</v>
      </c>
      <c r="E28" s="4" t="s">
        <v>2491</v>
      </c>
      <c r="F28" s="6">
        <v>14271949</v>
      </c>
      <c r="G28" s="3">
        <v>14271949</v>
      </c>
      <c r="H28" s="7">
        <v>733004747595</v>
      </c>
      <c r="I28" s="8" t="s">
        <v>1652</v>
      </c>
      <c r="J28" s="4">
        <v>2</v>
      </c>
      <c r="K28" s="9">
        <v>6.99</v>
      </c>
      <c r="L28" s="9">
        <v>13.98</v>
      </c>
      <c r="M28" s="4" t="s">
        <v>3272</v>
      </c>
      <c r="N28" s="4" t="s">
        <v>2505</v>
      </c>
      <c r="O28" s="4" t="s">
        <v>2493</v>
      </c>
      <c r="P28" s="4" t="s">
        <v>2503</v>
      </c>
      <c r="Q28" s="4" t="s">
        <v>2504</v>
      </c>
      <c r="R28" s="4"/>
      <c r="S28" s="4"/>
      <c r="T28" s="4" t="str">
        <f>HYPERLINK("http://slimages.macys.com/is/image/MCY/19977504 ")</f>
        <v xml:space="preserve">http://slimages.macys.com/is/image/MCY/19977504 </v>
      </c>
    </row>
    <row r="29" spans="1:20" ht="15" customHeight="1" x14ac:dyDescent="0.25">
      <c r="A29" s="4" t="s">
        <v>2489</v>
      </c>
      <c r="B29" s="2" t="s">
        <v>2487</v>
      </c>
      <c r="C29" s="2" t="s">
        <v>2488</v>
      </c>
      <c r="D29" s="5" t="s">
        <v>2490</v>
      </c>
      <c r="E29" s="4" t="s">
        <v>2491</v>
      </c>
      <c r="F29" s="6">
        <v>14271949</v>
      </c>
      <c r="G29" s="3">
        <v>14271949</v>
      </c>
      <c r="H29" s="7">
        <v>733004779237</v>
      </c>
      <c r="I29" s="8" t="s">
        <v>3217</v>
      </c>
      <c r="J29" s="4">
        <v>1</v>
      </c>
      <c r="K29" s="9">
        <v>7.99</v>
      </c>
      <c r="L29" s="9">
        <v>7.99</v>
      </c>
      <c r="M29" s="4" t="s">
        <v>2719</v>
      </c>
      <c r="N29" s="4" t="s">
        <v>2565</v>
      </c>
      <c r="O29" s="4" t="s">
        <v>2628</v>
      </c>
      <c r="P29" s="4" t="s">
        <v>2602</v>
      </c>
      <c r="Q29" s="4" t="s">
        <v>2528</v>
      </c>
      <c r="R29" s="4"/>
      <c r="S29" s="4"/>
      <c r="T29" s="4" t="str">
        <f>HYPERLINK("http://slimages.macys.com/is/image/MCY/1106903 ")</f>
        <v xml:space="preserve">http://slimages.macys.com/is/image/MCY/1106903 </v>
      </c>
    </row>
    <row r="30" spans="1:20" ht="15" customHeight="1" x14ac:dyDescent="0.25">
      <c r="A30" s="4" t="s">
        <v>2489</v>
      </c>
      <c r="B30" s="2" t="s">
        <v>2487</v>
      </c>
      <c r="C30" s="2" t="s">
        <v>2488</v>
      </c>
      <c r="D30" s="5" t="s">
        <v>2490</v>
      </c>
      <c r="E30" s="4" t="s">
        <v>2491</v>
      </c>
      <c r="F30" s="6">
        <v>14271949</v>
      </c>
      <c r="G30" s="3">
        <v>14271949</v>
      </c>
      <c r="H30" s="7">
        <v>733004738258</v>
      </c>
      <c r="I30" s="8" t="s">
        <v>1245</v>
      </c>
      <c r="J30" s="4">
        <v>2</v>
      </c>
      <c r="K30" s="9">
        <v>6.99</v>
      </c>
      <c r="L30" s="9">
        <v>13.98</v>
      </c>
      <c r="M30" s="4" t="s">
        <v>2777</v>
      </c>
      <c r="N30" s="4" t="s">
        <v>2638</v>
      </c>
      <c r="O30" s="4" t="s">
        <v>2601</v>
      </c>
      <c r="P30" s="4" t="s">
        <v>2503</v>
      </c>
      <c r="Q30" s="4" t="s">
        <v>2504</v>
      </c>
      <c r="R30" s="4"/>
      <c r="S30" s="4"/>
      <c r="T30" s="4" t="str">
        <f>HYPERLINK("http://slimages.macys.com/is/image/MCY/19983979 ")</f>
        <v xml:space="preserve">http://slimages.macys.com/is/image/MCY/19983979 </v>
      </c>
    </row>
    <row r="31" spans="1:20" ht="15" customHeight="1" x14ac:dyDescent="0.25">
      <c r="A31" s="4" t="s">
        <v>2489</v>
      </c>
      <c r="B31" s="2" t="s">
        <v>2487</v>
      </c>
      <c r="C31" s="2" t="s">
        <v>2488</v>
      </c>
      <c r="D31" s="5" t="s">
        <v>2490</v>
      </c>
      <c r="E31" s="4" t="s">
        <v>2491</v>
      </c>
      <c r="F31" s="6">
        <v>14271949</v>
      </c>
      <c r="G31" s="3">
        <v>14271949</v>
      </c>
      <c r="H31" s="7">
        <v>733004738531</v>
      </c>
      <c r="I31" s="8" t="s">
        <v>2461</v>
      </c>
      <c r="J31" s="4">
        <v>1</v>
      </c>
      <c r="K31" s="9">
        <v>6.99</v>
      </c>
      <c r="L31" s="9">
        <v>6.99</v>
      </c>
      <c r="M31" s="4" t="s">
        <v>2462</v>
      </c>
      <c r="N31" s="4" t="s">
        <v>2501</v>
      </c>
      <c r="O31" s="4" t="s">
        <v>2493</v>
      </c>
      <c r="P31" s="4" t="s">
        <v>2503</v>
      </c>
      <c r="Q31" s="4" t="s">
        <v>2504</v>
      </c>
      <c r="R31" s="4"/>
      <c r="S31" s="4"/>
      <c r="T31" s="4" t="str">
        <f>HYPERLINK("http://slimages.macys.com/is/image/MCY/19978055 ")</f>
        <v xml:space="preserve">http://slimages.macys.com/is/image/MCY/19978055 </v>
      </c>
    </row>
    <row r="32" spans="1:20" ht="15" customHeight="1" x14ac:dyDescent="0.25">
      <c r="A32" s="4" t="s">
        <v>2489</v>
      </c>
      <c r="B32" s="2" t="s">
        <v>2487</v>
      </c>
      <c r="C32" s="2" t="s">
        <v>2488</v>
      </c>
      <c r="D32" s="5" t="s">
        <v>2490</v>
      </c>
      <c r="E32" s="4" t="s">
        <v>2491</v>
      </c>
      <c r="F32" s="6">
        <v>14271949</v>
      </c>
      <c r="G32" s="3">
        <v>14271949</v>
      </c>
      <c r="H32" s="7">
        <v>733004747441</v>
      </c>
      <c r="I32" s="8" t="s">
        <v>2115</v>
      </c>
      <c r="J32" s="4">
        <v>1</v>
      </c>
      <c r="K32" s="9">
        <v>6.99</v>
      </c>
      <c r="L32" s="9">
        <v>6.99</v>
      </c>
      <c r="M32" s="4" t="s">
        <v>3272</v>
      </c>
      <c r="N32" s="4" t="s">
        <v>2505</v>
      </c>
      <c r="O32" s="4" t="s">
        <v>2559</v>
      </c>
      <c r="P32" s="4" t="s">
        <v>2503</v>
      </c>
      <c r="Q32" s="4" t="s">
        <v>2504</v>
      </c>
      <c r="R32" s="4"/>
      <c r="S32" s="4"/>
      <c r="T32" s="4" t="str">
        <f>HYPERLINK("http://slimages.macys.com/is/image/MCY/19977504 ")</f>
        <v xml:space="preserve">http://slimages.macys.com/is/image/MCY/19977504 </v>
      </c>
    </row>
    <row r="33" spans="1:20" ht="15" customHeight="1" x14ac:dyDescent="0.25">
      <c r="A33" s="4" t="s">
        <v>2489</v>
      </c>
      <c r="B33" s="2" t="s">
        <v>2487</v>
      </c>
      <c r="C33" s="2" t="s">
        <v>2488</v>
      </c>
      <c r="D33" s="5" t="s">
        <v>2490</v>
      </c>
      <c r="E33" s="4" t="s">
        <v>2491</v>
      </c>
      <c r="F33" s="6">
        <v>14271949</v>
      </c>
      <c r="G33" s="3">
        <v>14271949</v>
      </c>
      <c r="H33" s="7">
        <v>742728511061</v>
      </c>
      <c r="I33" s="8" t="s">
        <v>1653</v>
      </c>
      <c r="J33" s="4">
        <v>1</v>
      </c>
      <c r="K33" s="9">
        <v>22.99</v>
      </c>
      <c r="L33" s="9">
        <v>22.99</v>
      </c>
      <c r="M33" s="4" t="s">
        <v>1848</v>
      </c>
      <c r="N33" s="4" t="s">
        <v>2535</v>
      </c>
      <c r="O33" s="4" t="s">
        <v>2519</v>
      </c>
      <c r="P33" s="4" t="s">
        <v>2499</v>
      </c>
      <c r="Q33" s="4" t="s">
        <v>2752</v>
      </c>
      <c r="R33" s="4"/>
      <c r="S33" s="4"/>
      <c r="T33" s="4" t="str">
        <f>HYPERLINK("http://slimages.macys.com/is/image/MCY/20365962 ")</f>
        <v xml:space="preserve">http://slimages.macys.com/is/image/MCY/20365962 </v>
      </c>
    </row>
    <row r="34" spans="1:20" ht="15" customHeight="1" x14ac:dyDescent="0.25">
      <c r="A34" s="4" t="s">
        <v>2489</v>
      </c>
      <c r="B34" s="2" t="s">
        <v>2487</v>
      </c>
      <c r="C34" s="2" t="s">
        <v>2488</v>
      </c>
      <c r="D34" s="5" t="s">
        <v>2490</v>
      </c>
      <c r="E34" s="4" t="s">
        <v>2491</v>
      </c>
      <c r="F34" s="6">
        <v>14271949</v>
      </c>
      <c r="G34" s="3">
        <v>14271949</v>
      </c>
      <c r="H34" s="7">
        <v>733004091346</v>
      </c>
      <c r="I34" s="8" t="s">
        <v>1654</v>
      </c>
      <c r="J34" s="4">
        <v>1</v>
      </c>
      <c r="K34" s="9">
        <v>14.99</v>
      </c>
      <c r="L34" s="9">
        <v>14.99</v>
      </c>
      <c r="M34" s="4" t="s">
        <v>2767</v>
      </c>
      <c r="N34" s="4" t="s">
        <v>2632</v>
      </c>
      <c r="O34" s="4" t="s">
        <v>2555</v>
      </c>
      <c r="P34" s="4" t="s">
        <v>2543</v>
      </c>
      <c r="Q34" s="4" t="s">
        <v>2528</v>
      </c>
      <c r="R34" s="4"/>
      <c r="S34" s="4"/>
      <c r="T34" s="4" t="str">
        <f>HYPERLINK("http://slimages.macys.com/is/image/MCY/19932860 ")</f>
        <v xml:space="preserve">http://slimages.macys.com/is/image/MCY/19932860 </v>
      </c>
    </row>
    <row r="35" spans="1:20" ht="15" customHeight="1" x14ac:dyDescent="0.25">
      <c r="A35" s="4" t="s">
        <v>2489</v>
      </c>
      <c r="B35" s="2" t="s">
        <v>2487</v>
      </c>
      <c r="C35" s="2" t="s">
        <v>2488</v>
      </c>
      <c r="D35" s="5" t="s">
        <v>2490</v>
      </c>
      <c r="E35" s="4" t="s">
        <v>2491</v>
      </c>
      <c r="F35" s="6">
        <v>14271949</v>
      </c>
      <c r="G35" s="3">
        <v>14271949</v>
      </c>
      <c r="H35" s="7">
        <v>617845243099</v>
      </c>
      <c r="I35" s="8" t="s">
        <v>1457</v>
      </c>
      <c r="J35" s="4">
        <v>7</v>
      </c>
      <c r="K35" s="9">
        <v>29.99</v>
      </c>
      <c r="L35" s="9">
        <v>209.93</v>
      </c>
      <c r="M35" s="4" t="s">
        <v>2790</v>
      </c>
      <c r="N35" s="4" t="s">
        <v>2518</v>
      </c>
      <c r="O35" s="4">
        <v>20</v>
      </c>
      <c r="P35" s="4" t="s">
        <v>2564</v>
      </c>
      <c r="Q35" s="4" t="s">
        <v>2507</v>
      </c>
      <c r="R35" s="4" t="s">
        <v>2552</v>
      </c>
      <c r="S35" s="4" t="s">
        <v>2791</v>
      </c>
      <c r="T35" s="4" t="str">
        <f>HYPERLINK("http://slimages.macys.com/is/image/MCY/15967849 ")</f>
        <v xml:space="preserve">http://slimages.macys.com/is/image/MCY/15967849 </v>
      </c>
    </row>
    <row r="36" spans="1:20" ht="15" customHeight="1" x14ac:dyDescent="0.25">
      <c r="A36" s="4" t="s">
        <v>2489</v>
      </c>
      <c r="B36" s="2" t="s">
        <v>2487</v>
      </c>
      <c r="C36" s="2" t="s">
        <v>2488</v>
      </c>
      <c r="D36" s="5" t="s">
        <v>2490</v>
      </c>
      <c r="E36" s="4" t="s">
        <v>2491</v>
      </c>
      <c r="F36" s="6">
        <v>14271949</v>
      </c>
      <c r="G36" s="3">
        <v>14271949</v>
      </c>
      <c r="H36" s="7">
        <v>194135471900</v>
      </c>
      <c r="I36" s="8" t="s">
        <v>1655</v>
      </c>
      <c r="J36" s="4">
        <v>1</v>
      </c>
      <c r="K36" s="9">
        <v>7.96</v>
      </c>
      <c r="L36" s="9">
        <v>7.96</v>
      </c>
      <c r="M36" s="4" t="s">
        <v>1656</v>
      </c>
      <c r="N36" s="4" t="s">
        <v>2514</v>
      </c>
      <c r="O36" s="4" t="s">
        <v>2493</v>
      </c>
      <c r="P36" s="4" t="s">
        <v>2494</v>
      </c>
      <c r="Q36" s="4" t="s">
        <v>2495</v>
      </c>
      <c r="R36" s="4"/>
      <c r="S36" s="4"/>
      <c r="T36" s="4" t="str">
        <f>HYPERLINK("http://slimages.macys.com/is/image/MCY/19836861 ")</f>
        <v xml:space="preserve">http://slimages.macys.com/is/image/MCY/19836861 </v>
      </c>
    </row>
    <row r="37" spans="1:20" ht="15" customHeight="1" x14ac:dyDescent="0.25">
      <c r="A37" s="4" t="s">
        <v>2489</v>
      </c>
      <c r="B37" s="2" t="s">
        <v>2487</v>
      </c>
      <c r="C37" s="2" t="s">
        <v>2488</v>
      </c>
      <c r="D37" s="5" t="s">
        <v>2490</v>
      </c>
      <c r="E37" s="4" t="s">
        <v>2491</v>
      </c>
      <c r="F37" s="6">
        <v>14271949</v>
      </c>
      <c r="G37" s="3">
        <v>14271949</v>
      </c>
      <c r="H37" s="7">
        <v>194753271616</v>
      </c>
      <c r="I37" s="8" t="s">
        <v>1657</v>
      </c>
      <c r="J37" s="4">
        <v>1</v>
      </c>
      <c r="K37" s="9">
        <v>24.99</v>
      </c>
      <c r="L37" s="9">
        <v>24.99</v>
      </c>
      <c r="M37" s="4" t="s">
        <v>1658</v>
      </c>
      <c r="N37" s="4" t="s">
        <v>2544</v>
      </c>
      <c r="O37" s="4" t="s">
        <v>2493</v>
      </c>
      <c r="P37" s="4" t="s">
        <v>2562</v>
      </c>
      <c r="Q37" s="4" t="s">
        <v>2715</v>
      </c>
      <c r="R37" s="4"/>
      <c r="S37" s="4"/>
      <c r="T37" s="4" t="str">
        <f>HYPERLINK("http://slimages.macys.com/is/image/MCY/20079252 ")</f>
        <v xml:space="preserve">http://slimages.macys.com/is/image/MCY/20079252 </v>
      </c>
    </row>
    <row r="38" spans="1:20" ht="15" customHeight="1" x14ac:dyDescent="0.25">
      <c r="A38" s="4" t="s">
        <v>2489</v>
      </c>
      <c r="B38" s="2" t="s">
        <v>2487</v>
      </c>
      <c r="C38" s="2" t="s">
        <v>2488</v>
      </c>
      <c r="D38" s="5" t="s">
        <v>2490</v>
      </c>
      <c r="E38" s="4" t="s">
        <v>2491</v>
      </c>
      <c r="F38" s="6">
        <v>14271949</v>
      </c>
      <c r="G38" s="3">
        <v>14271949</v>
      </c>
      <c r="H38" s="7">
        <v>733003131241</v>
      </c>
      <c r="I38" s="8" t="s">
        <v>1659</v>
      </c>
      <c r="J38" s="4">
        <v>1</v>
      </c>
      <c r="K38" s="9">
        <v>5.99</v>
      </c>
      <c r="L38" s="9">
        <v>5.99</v>
      </c>
      <c r="M38" s="4" t="s">
        <v>1660</v>
      </c>
      <c r="N38" s="4" t="s">
        <v>2638</v>
      </c>
      <c r="O38" s="4" t="s">
        <v>2502</v>
      </c>
      <c r="P38" s="4" t="s">
        <v>2503</v>
      </c>
      <c r="Q38" s="4" t="s">
        <v>2504</v>
      </c>
      <c r="R38" s="4"/>
      <c r="S38" s="4"/>
      <c r="T38" s="4" t="str">
        <f>HYPERLINK("http://slimages.macys.com/is/image/MCY/19217319 ")</f>
        <v xml:space="preserve">http://slimages.macys.com/is/image/MCY/19217319 </v>
      </c>
    </row>
    <row r="39" spans="1:20" ht="15" customHeight="1" x14ac:dyDescent="0.25">
      <c r="A39" s="4" t="s">
        <v>2489</v>
      </c>
      <c r="B39" s="2" t="s">
        <v>2487</v>
      </c>
      <c r="C39" s="2" t="s">
        <v>2488</v>
      </c>
      <c r="D39" s="5" t="s">
        <v>2490</v>
      </c>
      <c r="E39" s="4" t="s">
        <v>2491</v>
      </c>
      <c r="F39" s="6">
        <v>14271949</v>
      </c>
      <c r="G39" s="3">
        <v>14271949</v>
      </c>
      <c r="H39" s="7">
        <v>733004747199</v>
      </c>
      <c r="I39" s="8" t="s">
        <v>1548</v>
      </c>
      <c r="J39" s="4">
        <v>1</v>
      </c>
      <c r="K39" s="9">
        <v>5.99</v>
      </c>
      <c r="L39" s="9">
        <v>5.99</v>
      </c>
      <c r="M39" s="4" t="s">
        <v>1998</v>
      </c>
      <c r="N39" s="4" t="s">
        <v>2565</v>
      </c>
      <c r="O39" s="4" t="s">
        <v>2559</v>
      </c>
      <c r="P39" s="4" t="s">
        <v>2503</v>
      </c>
      <c r="Q39" s="4" t="s">
        <v>2504</v>
      </c>
      <c r="R39" s="4"/>
      <c r="S39" s="4"/>
      <c r="T39" s="4" t="str">
        <f>HYPERLINK("http://slimages.macys.com/is/image/MCY/19977763 ")</f>
        <v xml:space="preserve">http://slimages.macys.com/is/image/MCY/19977763 </v>
      </c>
    </row>
    <row r="40" spans="1:20" ht="15" customHeight="1" x14ac:dyDescent="0.25">
      <c r="A40" s="4" t="s">
        <v>2489</v>
      </c>
      <c r="B40" s="2" t="s">
        <v>2487</v>
      </c>
      <c r="C40" s="2" t="s">
        <v>2488</v>
      </c>
      <c r="D40" s="5" t="s">
        <v>2490</v>
      </c>
      <c r="E40" s="4" t="s">
        <v>2491</v>
      </c>
      <c r="F40" s="6">
        <v>14271949</v>
      </c>
      <c r="G40" s="3">
        <v>14271949</v>
      </c>
      <c r="H40" s="7">
        <v>733003581152</v>
      </c>
      <c r="I40" s="8" t="s">
        <v>1611</v>
      </c>
      <c r="J40" s="4">
        <v>2</v>
      </c>
      <c r="K40" s="9">
        <v>11.99</v>
      </c>
      <c r="L40" s="9">
        <v>23.98</v>
      </c>
      <c r="M40" s="4" t="s">
        <v>3445</v>
      </c>
      <c r="N40" s="4" t="s">
        <v>2531</v>
      </c>
      <c r="O40" s="4" t="s">
        <v>2566</v>
      </c>
      <c r="P40" s="4" t="s">
        <v>2503</v>
      </c>
      <c r="Q40" s="4" t="s">
        <v>2504</v>
      </c>
      <c r="R40" s="4"/>
      <c r="S40" s="4"/>
      <c r="T40" s="4" t="str">
        <f>HYPERLINK("http://slimages.macys.com/is/image/MCY/19589137 ")</f>
        <v xml:space="preserve">http://slimages.macys.com/is/image/MCY/19589137 </v>
      </c>
    </row>
    <row r="41" spans="1:20" ht="15" customHeight="1" x14ac:dyDescent="0.25">
      <c r="A41" s="4" t="s">
        <v>2489</v>
      </c>
      <c r="B41" s="2" t="s">
        <v>2487</v>
      </c>
      <c r="C41" s="2" t="s">
        <v>2488</v>
      </c>
      <c r="D41" s="5" t="s">
        <v>2490</v>
      </c>
      <c r="E41" s="4" t="s">
        <v>2491</v>
      </c>
      <c r="F41" s="6">
        <v>14271949</v>
      </c>
      <c r="G41" s="3">
        <v>14271949</v>
      </c>
      <c r="H41" s="7">
        <v>13244466105</v>
      </c>
      <c r="I41" s="8" t="s">
        <v>3325</v>
      </c>
      <c r="J41" s="4">
        <v>3</v>
      </c>
      <c r="K41" s="9">
        <v>12.99</v>
      </c>
      <c r="L41" s="9">
        <v>38.97</v>
      </c>
      <c r="M41" s="4" t="s">
        <v>3326</v>
      </c>
      <c r="N41" s="4" t="s">
        <v>2497</v>
      </c>
      <c r="O41" s="4" t="s">
        <v>2538</v>
      </c>
      <c r="P41" s="4" t="s">
        <v>2539</v>
      </c>
      <c r="Q41" s="4" t="s">
        <v>3223</v>
      </c>
      <c r="R41" s="4"/>
      <c r="S41" s="4"/>
      <c r="T41" s="4" t="str">
        <f>HYPERLINK("http://slimages.macys.com/is/image/MCY/20282929 ")</f>
        <v xml:space="preserve">http://slimages.macys.com/is/image/MCY/20282929 </v>
      </c>
    </row>
    <row r="42" spans="1:20" ht="15" customHeight="1" x14ac:dyDescent="0.25">
      <c r="A42" s="4" t="s">
        <v>2489</v>
      </c>
      <c r="B42" s="2" t="s">
        <v>2487</v>
      </c>
      <c r="C42" s="2" t="s">
        <v>2488</v>
      </c>
      <c r="D42" s="5" t="s">
        <v>2490</v>
      </c>
      <c r="E42" s="4" t="s">
        <v>2491</v>
      </c>
      <c r="F42" s="6">
        <v>14271949</v>
      </c>
      <c r="G42" s="3">
        <v>14271949</v>
      </c>
      <c r="H42" s="7">
        <v>733002286034</v>
      </c>
      <c r="I42" s="8" t="s">
        <v>1156</v>
      </c>
      <c r="J42" s="4">
        <v>1</v>
      </c>
      <c r="K42" s="9">
        <v>5.99</v>
      </c>
      <c r="L42" s="9">
        <v>5.99</v>
      </c>
      <c r="M42" s="4" t="s">
        <v>2727</v>
      </c>
      <c r="N42" s="4" t="s">
        <v>2804</v>
      </c>
      <c r="O42" s="4" t="s">
        <v>2587</v>
      </c>
      <c r="P42" s="4" t="s">
        <v>2520</v>
      </c>
      <c r="Q42" s="4" t="s">
        <v>2528</v>
      </c>
      <c r="R42" s="4"/>
      <c r="S42" s="4"/>
      <c r="T42" s="4" t="str">
        <f>HYPERLINK("http://slimages.macys.com/is/image/MCY/21099931 ")</f>
        <v xml:space="preserve">http://slimages.macys.com/is/image/MCY/21099931 </v>
      </c>
    </row>
    <row r="43" spans="1:20" ht="15" customHeight="1" x14ac:dyDescent="0.25">
      <c r="A43" s="4" t="s">
        <v>2489</v>
      </c>
      <c r="B43" s="2" t="s">
        <v>2487</v>
      </c>
      <c r="C43" s="2" t="s">
        <v>2488</v>
      </c>
      <c r="D43" s="5" t="s">
        <v>2490</v>
      </c>
      <c r="E43" s="4" t="s">
        <v>2491</v>
      </c>
      <c r="F43" s="6">
        <v>14271949</v>
      </c>
      <c r="G43" s="3">
        <v>14271949</v>
      </c>
      <c r="H43" s="7">
        <v>733004542206</v>
      </c>
      <c r="I43" s="8" t="s">
        <v>2742</v>
      </c>
      <c r="J43" s="4">
        <v>2</v>
      </c>
      <c r="K43" s="9">
        <v>21.99</v>
      </c>
      <c r="L43" s="9">
        <v>43.98</v>
      </c>
      <c r="M43" s="4" t="s">
        <v>2743</v>
      </c>
      <c r="N43" s="4" t="s">
        <v>2508</v>
      </c>
      <c r="O43" s="4" t="s">
        <v>2555</v>
      </c>
      <c r="P43" s="4" t="s">
        <v>2543</v>
      </c>
      <c r="Q43" s="4" t="s">
        <v>2528</v>
      </c>
      <c r="R43" s="4"/>
      <c r="S43" s="4"/>
      <c r="T43" s="4" t="str">
        <f>HYPERLINK("http://slimages.macys.com/is/image/MCY/20158252 ")</f>
        <v xml:space="preserve">http://slimages.macys.com/is/image/MCY/20158252 </v>
      </c>
    </row>
    <row r="44" spans="1:20" ht="15" customHeight="1" x14ac:dyDescent="0.25">
      <c r="A44" s="4" t="s">
        <v>2489</v>
      </c>
      <c r="B44" s="2" t="s">
        <v>2487</v>
      </c>
      <c r="C44" s="2" t="s">
        <v>2488</v>
      </c>
      <c r="D44" s="5" t="s">
        <v>2490</v>
      </c>
      <c r="E44" s="4" t="s">
        <v>2491</v>
      </c>
      <c r="F44" s="6">
        <v>14271949</v>
      </c>
      <c r="G44" s="3">
        <v>14271949</v>
      </c>
      <c r="H44" s="7">
        <v>733003172657</v>
      </c>
      <c r="I44" s="8" t="s">
        <v>1661</v>
      </c>
      <c r="J44" s="4">
        <v>1</v>
      </c>
      <c r="K44" s="9">
        <v>16.989999999999998</v>
      </c>
      <c r="L44" s="9">
        <v>16.989999999999998</v>
      </c>
      <c r="M44" s="4" t="s">
        <v>3254</v>
      </c>
      <c r="N44" s="4" t="s">
        <v>2530</v>
      </c>
      <c r="O44" s="4" t="s">
        <v>2555</v>
      </c>
      <c r="P44" s="4" t="s">
        <v>2515</v>
      </c>
      <c r="Q44" s="4" t="s">
        <v>2672</v>
      </c>
      <c r="R44" s="4"/>
      <c r="S44" s="4"/>
      <c r="T44" s="4" t="str">
        <f>HYPERLINK("http://slimages.macys.com/is/image/MCY/19038744 ")</f>
        <v xml:space="preserve">http://slimages.macys.com/is/image/MCY/19038744 </v>
      </c>
    </row>
    <row r="45" spans="1:20" ht="15" customHeight="1" x14ac:dyDescent="0.25">
      <c r="A45" s="4" t="s">
        <v>2489</v>
      </c>
      <c r="B45" s="2" t="s">
        <v>2487</v>
      </c>
      <c r="C45" s="2" t="s">
        <v>2488</v>
      </c>
      <c r="D45" s="5" t="s">
        <v>2490</v>
      </c>
      <c r="E45" s="4" t="s">
        <v>2491</v>
      </c>
      <c r="F45" s="6">
        <v>14271949</v>
      </c>
      <c r="G45" s="3">
        <v>14271949</v>
      </c>
      <c r="H45" s="7">
        <v>194257424884</v>
      </c>
      <c r="I45" s="8" t="s">
        <v>1662</v>
      </c>
      <c r="J45" s="4">
        <v>1</v>
      </c>
      <c r="K45" s="9">
        <v>17.989999999999998</v>
      </c>
      <c r="L45" s="9">
        <v>17.989999999999998</v>
      </c>
      <c r="M45" s="4" t="s">
        <v>1663</v>
      </c>
      <c r="N45" s="4" t="s">
        <v>2501</v>
      </c>
      <c r="O45" s="4" t="s">
        <v>2519</v>
      </c>
      <c r="P45" s="4" t="s">
        <v>2619</v>
      </c>
      <c r="Q45" s="4" t="s">
        <v>2500</v>
      </c>
      <c r="R45" s="4"/>
      <c r="S45" s="4"/>
      <c r="T45" s="4" t="str">
        <f>HYPERLINK("http://slimages.macys.com/is/image/MCY/19995334 ")</f>
        <v xml:space="preserve">http://slimages.macys.com/is/image/MCY/19995334 </v>
      </c>
    </row>
    <row r="46" spans="1:20" ht="15" customHeight="1" x14ac:dyDescent="0.25">
      <c r="A46" s="4" t="s">
        <v>2489</v>
      </c>
      <c r="B46" s="2" t="s">
        <v>2487</v>
      </c>
      <c r="C46" s="2" t="s">
        <v>2488</v>
      </c>
      <c r="D46" s="5" t="s">
        <v>2490</v>
      </c>
      <c r="E46" s="4" t="s">
        <v>2491</v>
      </c>
      <c r="F46" s="6">
        <v>14271949</v>
      </c>
      <c r="G46" s="3">
        <v>14271949</v>
      </c>
      <c r="H46" s="7">
        <v>677838402797</v>
      </c>
      <c r="I46" s="8" t="s">
        <v>1664</v>
      </c>
      <c r="J46" s="4">
        <v>2</v>
      </c>
      <c r="K46" s="9">
        <v>39.99</v>
      </c>
      <c r="L46" s="9">
        <v>79.98</v>
      </c>
      <c r="M46" s="4" t="s">
        <v>2790</v>
      </c>
      <c r="N46" s="4" t="s">
        <v>2505</v>
      </c>
      <c r="O46" s="4">
        <v>18</v>
      </c>
      <c r="P46" s="4" t="s">
        <v>2564</v>
      </c>
      <c r="Q46" s="4" t="s">
        <v>2507</v>
      </c>
      <c r="R46" s="4" t="s">
        <v>2552</v>
      </c>
      <c r="S46" s="4" t="s">
        <v>2791</v>
      </c>
      <c r="T46" s="4" t="str">
        <f>HYPERLINK("http://slimages.macys.com/is/image/MCY/18125867 ")</f>
        <v xml:space="preserve">http://slimages.macys.com/is/image/MCY/18125867 </v>
      </c>
    </row>
    <row r="47" spans="1:20" ht="15" customHeight="1" x14ac:dyDescent="0.25">
      <c r="A47" s="4" t="s">
        <v>2489</v>
      </c>
      <c r="B47" s="2" t="s">
        <v>2487</v>
      </c>
      <c r="C47" s="2" t="s">
        <v>2488</v>
      </c>
      <c r="D47" s="5" t="s">
        <v>2490</v>
      </c>
      <c r="E47" s="4" t="s">
        <v>2491</v>
      </c>
      <c r="F47" s="6">
        <v>14271949</v>
      </c>
      <c r="G47" s="3">
        <v>14271949</v>
      </c>
      <c r="H47" s="7">
        <v>194257425027</v>
      </c>
      <c r="I47" s="8" t="s">
        <v>1665</v>
      </c>
      <c r="J47" s="4">
        <v>1</v>
      </c>
      <c r="K47" s="9">
        <v>12.99</v>
      </c>
      <c r="L47" s="9">
        <v>12.99</v>
      </c>
      <c r="M47" s="4" t="s">
        <v>1666</v>
      </c>
      <c r="N47" s="4" t="s">
        <v>2642</v>
      </c>
      <c r="O47" s="4" t="s">
        <v>2555</v>
      </c>
      <c r="P47" s="4" t="s">
        <v>2619</v>
      </c>
      <c r="Q47" s="4" t="s">
        <v>2500</v>
      </c>
      <c r="R47" s="4"/>
      <c r="S47" s="4"/>
      <c r="T47" s="4" t="str">
        <f>HYPERLINK("http://slimages.macys.com/is/image/MCY/19995040 ")</f>
        <v xml:space="preserve">http://slimages.macys.com/is/image/MCY/19995040 </v>
      </c>
    </row>
    <row r="48" spans="1:20" ht="15" customHeight="1" x14ac:dyDescent="0.25">
      <c r="A48" s="4" t="s">
        <v>2489</v>
      </c>
      <c r="B48" s="2" t="s">
        <v>2487</v>
      </c>
      <c r="C48" s="2" t="s">
        <v>2488</v>
      </c>
      <c r="D48" s="5" t="s">
        <v>2490</v>
      </c>
      <c r="E48" s="4" t="s">
        <v>2491</v>
      </c>
      <c r="F48" s="6">
        <v>14271949</v>
      </c>
      <c r="G48" s="3">
        <v>14271949</v>
      </c>
      <c r="H48" s="7">
        <v>46094591963</v>
      </c>
      <c r="I48" s="8" t="s">
        <v>3184</v>
      </c>
      <c r="J48" s="4">
        <v>1</v>
      </c>
      <c r="K48" s="9">
        <v>11.99</v>
      </c>
      <c r="L48" s="9">
        <v>11.99</v>
      </c>
      <c r="M48" s="4" t="s">
        <v>3185</v>
      </c>
      <c r="N48" s="4" t="s">
        <v>2642</v>
      </c>
      <c r="O48" s="4" t="s">
        <v>2555</v>
      </c>
      <c r="P48" s="4" t="s">
        <v>2666</v>
      </c>
      <c r="Q48" s="4" t="s">
        <v>2667</v>
      </c>
      <c r="R48" s="4" t="s">
        <v>2552</v>
      </c>
      <c r="S48" s="4" t="s">
        <v>3186</v>
      </c>
      <c r="T48" s="4" t="str">
        <f>HYPERLINK("http://slimages.macys.com/is/image/MCY/2568960 ")</f>
        <v xml:space="preserve">http://slimages.macys.com/is/image/MCY/2568960 </v>
      </c>
    </row>
    <row r="49" spans="1:20" ht="15" customHeight="1" x14ac:dyDescent="0.25">
      <c r="A49" s="4" t="s">
        <v>2489</v>
      </c>
      <c r="B49" s="2" t="s">
        <v>2487</v>
      </c>
      <c r="C49" s="2" t="s">
        <v>2488</v>
      </c>
      <c r="D49" s="5" t="s">
        <v>2490</v>
      </c>
      <c r="E49" s="4" t="s">
        <v>2491</v>
      </c>
      <c r="F49" s="6">
        <v>14271949</v>
      </c>
      <c r="G49" s="3">
        <v>14271949</v>
      </c>
      <c r="H49" s="7">
        <v>733001129905</v>
      </c>
      <c r="I49" s="8" t="s">
        <v>1852</v>
      </c>
      <c r="J49" s="4">
        <v>1</v>
      </c>
      <c r="K49" s="9">
        <v>5.99</v>
      </c>
      <c r="L49" s="9">
        <v>5.99</v>
      </c>
      <c r="M49" s="4" t="s">
        <v>2727</v>
      </c>
      <c r="N49" s="4" t="s">
        <v>2497</v>
      </c>
      <c r="O49" s="4">
        <v>7</v>
      </c>
      <c r="P49" s="4" t="s">
        <v>2520</v>
      </c>
      <c r="Q49" s="4" t="s">
        <v>2528</v>
      </c>
      <c r="R49" s="4"/>
      <c r="S49" s="4"/>
      <c r="T49" s="4" t="str">
        <f>HYPERLINK("http://slimages.macys.com/is/image/MCY/19257912 ")</f>
        <v xml:space="preserve">http://slimages.macys.com/is/image/MCY/19257912 </v>
      </c>
    </row>
    <row r="50" spans="1:20" ht="15" customHeight="1" x14ac:dyDescent="0.25">
      <c r="A50" s="4" t="s">
        <v>2489</v>
      </c>
      <c r="B50" s="2" t="s">
        <v>2487</v>
      </c>
      <c r="C50" s="2" t="s">
        <v>2488</v>
      </c>
      <c r="D50" s="5" t="s">
        <v>2490</v>
      </c>
      <c r="E50" s="4" t="s">
        <v>2491</v>
      </c>
      <c r="F50" s="6">
        <v>14271949</v>
      </c>
      <c r="G50" s="3">
        <v>14271949</v>
      </c>
      <c r="H50" s="7">
        <v>733003580926</v>
      </c>
      <c r="I50" s="8" t="s">
        <v>1604</v>
      </c>
      <c r="J50" s="4">
        <v>1</v>
      </c>
      <c r="K50" s="9">
        <v>21.99</v>
      </c>
      <c r="L50" s="9">
        <v>21.99</v>
      </c>
      <c r="M50" s="4" t="s">
        <v>3190</v>
      </c>
      <c r="N50" s="4" t="s">
        <v>2642</v>
      </c>
      <c r="O50" s="4" t="s">
        <v>2566</v>
      </c>
      <c r="P50" s="4" t="s">
        <v>2503</v>
      </c>
      <c r="Q50" s="4" t="s">
        <v>2504</v>
      </c>
      <c r="R50" s="4"/>
      <c r="S50" s="4"/>
      <c r="T50" s="4" t="str">
        <f>HYPERLINK("http://slimages.macys.com/is/image/MCY/19588814 ")</f>
        <v xml:space="preserve">http://slimages.macys.com/is/image/MCY/19588814 </v>
      </c>
    </row>
    <row r="51" spans="1:20" ht="15" customHeight="1" x14ac:dyDescent="0.25">
      <c r="A51" s="4" t="s">
        <v>2489</v>
      </c>
      <c r="B51" s="2" t="s">
        <v>2487</v>
      </c>
      <c r="C51" s="2" t="s">
        <v>2488</v>
      </c>
      <c r="D51" s="5" t="s">
        <v>2490</v>
      </c>
      <c r="E51" s="4" t="s">
        <v>2491</v>
      </c>
      <c r="F51" s="6">
        <v>14271949</v>
      </c>
      <c r="G51" s="3">
        <v>14271949</v>
      </c>
      <c r="H51" s="7">
        <v>733004952487</v>
      </c>
      <c r="I51" s="8" t="s">
        <v>3420</v>
      </c>
      <c r="J51" s="4">
        <v>1</v>
      </c>
      <c r="K51" s="9">
        <v>13.99</v>
      </c>
      <c r="L51" s="9">
        <v>13.99</v>
      </c>
      <c r="M51" s="4" t="s">
        <v>3019</v>
      </c>
      <c r="N51" s="4" t="s">
        <v>2565</v>
      </c>
      <c r="O51" s="4" t="s">
        <v>2559</v>
      </c>
      <c r="P51" s="4" t="s">
        <v>2503</v>
      </c>
      <c r="Q51" s="4" t="s">
        <v>2504</v>
      </c>
      <c r="R51" s="4"/>
      <c r="S51" s="4"/>
      <c r="T51" s="4" t="str">
        <f>HYPERLINK("http://slimages.macys.com/is/image/MCY/1070791 ")</f>
        <v xml:space="preserve">http://slimages.macys.com/is/image/MCY/1070791 </v>
      </c>
    </row>
    <row r="52" spans="1:20" ht="15" customHeight="1" x14ac:dyDescent="0.25">
      <c r="A52" s="4" t="s">
        <v>2489</v>
      </c>
      <c r="B52" s="2" t="s">
        <v>2487</v>
      </c>
      <c r="C52" s="2" t="s">
        <v>2488</v>
      </c>
      <c r="D52" s="5" t="s">
        <v>2490</v>
      </c>
      <c r="E52" s="4" t="s">
        <v>2491</v>
      </c>
      <c r="F52" s="6">
        <v>14271949</v>
      </c>
      <c r="G52" s="3">
        <v>14271949</v>
      </c>
      <c r="H52" s="7">
        <v>733003711436</v>
      </c>
      <c r="I52" s="8" t="s">
        <v>1667</v>
      </c>
      <c r="J52" s="4">
        <v>1</v>
      </c>
      <c r="K52" s="9">
        <v>33.99</v>
      </c>
      <c r="L52" s="9">
        <v>33.99</v>
      </c>
      <c r="M52" s="4" t="s">
        <v>1668</v>
      </c>
      <c r="N52" s="4" t="s">
        <v>2561</v>
      </c>
      <c r="O52" s="4" t="s">
        <v>2566</v>
      </c>
      <c r="P52" s="4" t="s">
        <v>2503</v>
      </c>
      <c r="Q52" s="4" t="s">
        <v>2504</v>
      </c>
      <c r="R52" s="4"/>
      <c r="S52" s="4"/>
      <c r="T52" s="4" t="str">
        <f>HYPERLINK("http://slimages.macys.com/is/image/MCY/19589081 ")</f>
        <v xml:space="preserve">http://slimages.macys.com/is/image/MCY/19589081 </v>
      </c>
    </row>
    <row r="53" spans="1:20" ht="15" customHeight="1" x14ac:dyDescent="0.25">
      <c r="A53" s="4" t="s">
        <v>2489</v>
      </c>
      <c r="B53" s="2" t="s">
        <v>2487</v>
      </c>
      <c r="C53" s="2" t="s">
        <v>2488</v>
      </c>
      <c r="D53" s="5" t="s">
        <v>2490</v>
      </c>
      <c r="E53" s="4" t="s">
        <v>2491</v>
      </c>
      <c r="F53" s="6">
        <v>14271949</v>
      </c>
      <c r="G53" s="3">
        <v>14271949</v>
      </c>
      <c r="H53" s="7">
        <v>885031526503</v>
      </c>
      <c r="I53" s="8" t="s">
        <v>3316</v>
      </c>
      <c r="J53" s="4">
        <v>1</v>
      </c>
      <c r="K53" s="9">
        <v>39.5</v>
      </c>
      <c r="L53" s="9">
        <v>39.5</v>
      </c>
      <c r="M53" s="4">
        <v>322858780001</v>
      </c>
      <c r="N53" s="4" t="s">
        <v>2731</v>
      </c>
      <c r="O53" s="4">
        <v>7</v>
      </c>
      <c r="P53" s="4" t="s">
        <v>2615</v>
      </c>
      <c r="Q53" s="4" t="s">
        <v>2616</v>
      </c>
      <c r="R53" s="4"/>
      <c r="S53" s="4"/>
      <c r="T53" s="4" t="str">
        <f>HYPERLINK("http://slimages.macys.com/is/image/MCY/20655333 ")</f>
        <v xml:space="preserve">http://slimages.macys.com/is/image/MCY/20655333 </v>
      </c>
    </row>
    <row r="54" spans="1:20" ht="15" customHeight="1" x14ac:dyDescent="0.25">
      <c r="A54" s="4" t="s">
        <v>2489</v>
      </c>
      <c r="B54" s="2" t="s">
        <v>2487</v>
      </c>
      <c r="C54" s="2" t="s">
        <v>2488</v>
      </c>
      <c r="D54" s="5" t="s">
        <v>2490</v>
      </c>
      <c r="E54" s="4" t="s">
        <v>2491</v>
      </c>
      <c r="F54" s="6">
        <v>14271949</v>
      </c>
      <c r="G54" s="3">
        <v>14271949</v>
      </c>
      <c r="H54" s="7">
        <v>194955959107</v>
      </c>
      <c r="I54" s="8" t="s">
        <v>1669</v>
      </c>
      <c r="J54" s="4">
        <v>1</v>
      </c>
      <c r="K54" s="9">
        <v>25.99</v>
      </c>
      <c r="L54" s="9">
        <v>25.99</v>
      </c>
      <c r="M54" s="4" t="s">
        <v>1670</v>
      </c>
      <c r="N54" s="4" t="s">
        <v>2535</v>
      </c>
      <c r="O54" s="4" t="s">
        <v>2498</v>
      </c>
      <c r="P54" s="4" t="s">
        <v>2619</v>
      </c>
      <c r="Q54" s="4" t="s">
        <v>2568</v>
      </c>
      <c r="R54" s="4"/>
      <c r="S54" s="4"/>
      <c r="T54" s="4" t="str">
        <f>HYPERLINK("http://slimages.macys.com/is/image/MCY/18226673 ")</f>
        <v xml:space="preserve">http://slimages.macys.com/is/image/MCY/18226673 </v>
      </c>
    </row>
    <row r="55" spans="1:20" ht="15" customHeight="1" x14ac:dyDescent="0.25">
      <c r="A55" s="4" t="s">
        <v>2489</v>
      </c>
      <c r="B55" s="2" t="s">
        <v>2487</v>
      </c>
      <c r="C55" s="2" t="s">
        <v>2488</v>
      </c>
      <c r="D55" s="5" t="s">
        <v>2490</v>
      </c>
      <c r="E55" s="4" t="s">
        <v>2491</v>
      </c>
      <c r="F55" s="6">
        <v>14271949</v>
      </c>
      <c r="G55" s="3">
        <v>14271949</v>
      </c>
      <c r="H55" s="7">
        <v>733001130024</v>
      </c>
      <c r="I55" s="8" t="s">
        <v>1671</v>
      </c>
      <c r="J55" s="4">
        <v>1</v>
      </c>
      <c r="K55" s="9">
        <v>5.99</v>
      </c>
      <c r="L55" s="9">
        <v>5.99</v>
      </c>
      <c r="M55" s="4" t="s">
        <v>2727</v>
      </c>
      <c r="N55" s="4" t="s">
        <v>2501</v>
      </c>
      <c r="O55" s="4">
        <v>7</v>
      </c>
      <c r="P55" s="4" t="s">
        <v>2520</v>
      </c>
      <c r="Q55" s="4" t="s">
        <v>2528</v>
      </c>
      <c r="R55" s="4"/>
      <c r="S55" s="4"/>
      <c r="T55" s="4" t="str">
        <f>HYPERLINK("http://slimages.macys.com/is/image/MCY/19258472 ")</f>
        <v xml:space="preserve">http://slimages.macys.com/is/image/MCY/19258472 </v>
      </c>
    </row>
    <row r="56" spans="1:20" ht="15" customHeight="1" x14ac:dyDescent="0.25">
      <c r="A56" s="4" t="s">
        <v>2489</v>
      </c>
      <c r="B56" s="2" t="s">
        <v>2487</v>
      </c>
      <c r="C56" s="2" t="s">
        <v>2488</v>
      </c>
      <c r="D56" s="5" t="s">
        <v>2490</v>
      </c>
      <c r="E56" s="4" t="s">
        <v>2491</v>
      </c>
      <c r="F56" s="6">
        <v>14271949</v>
      </c>
      <c r="G56" s="3">
        <v>14271949</v>
      </c>
      <c r="H56" s="7">
        <v>733003642747</v>
      </c>
      <c r="I56" s="8" t="s">
        <v>3388</v>
      </c>
      <c r="J56" s="4">
        <v>1</v>
      </c>
      <c r="K56" s="9">
        <v>22.99</v>
      </c>
      <c r="L56" s="9">
        <v>22.99</v>
      </c>
      <c r="M56" s="4" t="s">
        <v>2513</v>
      </c>
      <c r="N56" s="4" t="s">
        <v>2514</v>
      </c>
      <c r="O56" s="4" t="s">
        <v>2671</v>
      </c>
      <c r="P56" s="4" t="s">
        <v>2515</v>
      </c>
      <c r="Q56" s="4" t="s">
        <v>2516</v>
      </c>
      <c r="R56" s="4"/>
      <c r="S56" s="4"/>
      <c r="T56" s="4" t="str">
        <f>HYPERLINK("http://slimages.macys.com/is/image/MCY/20008078 ")</f>
        <v xml:space="preserve">http://slimages.macys.com/is/image/MCY/20008078 </v>
      </c>
    </row>
    <row r="57" spans="1:20" ht="15" customHeight="1" x14ac:dyDescent="0.25">
      <c r="A57" s="4" t="s">
        <v>2489</v>
      </c>
      <c r="B57" s="2" t="s">
        <v>2487</v>
      </c>
      <c r="C57" s="2" t="s">
        <v>2488</v>
      </c>
      <c r="D57" s="5" t="s">
        <v>2490</v>
      </c>
      <c r="E57" s="4" t="s">
        <v>2491</v>
      </c>
      <c r="F57" s="6">
        <v>14271949</v>
      </c>
      <c r="G57" s="3">
        <v>14271949</v>
      </c>
      <c r="H57" s="7">
        <v>762120213981</v>
      </c>
      <c r="I57" s="8" t="s">
        <v>1942</v>
      </c>
      <c r="J57" s="4">
        <v>1</v>
      </c>
      <c r="K57" s="9">
        <v>21.99</v>
      </c>
      <c r="L57" s="9">
        <v>21.99</v>
      </c>
      <c r="M57" s="4" t="s">
        <v>1857</v>
      </c>
      <c r="N57" s="4" t="s">
        <v>2565</v>
      </c>
      <c r="O57" s="4" t="s">
        <v>2671</v>
      </c>
      <c r="P57" s="4" t="s">
        <v>2515</v>
      </c>
      <c r="Q57" s="4" t="s">
        <v>2672</v>
      </c>
      <c r="R57" s="4"/>
      <c r="S57" s="4"/>
      <c r="T57" s="4" t="str">
        <f>HYPERLINK("http://slimages.macys.com/is/image/MCY/20411695 ")</f>
        <v xml:space="preserve">http://slimages.macys.com/is/image/MCY/20411695 </v>
      </c>
    </row>
    <row r="58" spans="1:20" ht="15" customHeight="1" x14ac:dyDescent="0.25">
      <c r="A58" s="4" t="s">
        <v>2489</v>
      </c>
      <c r="B58" s="2" t="s">
        <v>2487</v>
      </c>
      <c r="C58" s="2" t="s">
        <v>2488</v>
      </c>
      <c r="D58" s="5" t="s">
        <v>2490</v>
      </c>
      <c r="E58" s="4" t="s">
        <v>2491</v>
      </c>
      <c r="F58" s="6">
        <v>14271949</v>
      </c>
      <c r="G58" s="3">
        <v>14271949</v>
      </c>
      <c r="H58" s="7">
        <v>733003622336</v>
      </c>
      <c r="I58" s="8" t="s">
        <v>3350</v>
      </c>
      <c r="J58" s="4">
        <v>1</v>
      </c>
      <c r="K58" s="9">
        <v>6.99</v>
      </c>
      <c r="L58" s="9">
        <v>6.99</v>
      </c>
      <c r="M58" s="4" t="s">
        <v>3341</v>
      </c>
      <c r="N58" s="4" t="s">
        <v>2665</v>
      </c>
      <c r="O58" s="4" t="s">
        <v>2607</v>
      </c>
      <c r="P58" s="4" t="s">
        <v>2503</v>
      </c>
      <c r="Q58" s="4" t="s">
        <v>2504</v>
      </c>
      <c r="R58" s="4"/>
      <c r="S58" s="4"/>
      <c r="T58" s="4" t="str">
        <f>HYPERLINK("http://slimages.macys.com/is/image/MCY/19383732 ")</f>
        <v xml:space="preserve">http://slimages.macys.com/is/image/MCY/19383732 </v>
      </c>
    </row>
    <row r="59" spans="1:20" ht="15" customHeight="1" x14ac:dyDescent="0.25">
      <c r="A59" s="4" t="s">
        <v>2489</v>
      </c>
      <c r="B59" s="2" t="s">
        <v>2487</v>
      </c>
      <c r="C59" s="2" t="s">
        <v>2488</v>
      </c>
      <c r="D59" s="5" t="s">
        <v>2490</v>
      </c>
      <c r="E59" s="4" t="s">
        <v>2491</v>
      </c>
      <c r="F59" s="6">
        <v>14271949</v>
      </c>
      <c r="G59" s="3">
        <v>14271949</v>
      </c>
      <c r="H59" s="7">
        <v>660168597219</v>
      </c>
      <c r="I59" s="8" t="s">
        <v>1672</v>
      </c>
      <c r="J59" s="4">
        <v>1</v>
      </c>
      <c r="K59" s="9">
        <v>13.99</v>
      </c>
      <c r="L59" s="9">
        <v>13.99</v>
      </c>
      <c r="M59" s="4">
        <v>59721</v>
      </c>
      <c r="N59" s="4" t="s">
        <v>2596</v>
      </c>
      <c r="O59" s="4"/>
      <c r="P59" s="4" t="s">
        <v>2533</v>
      </c>
      <c r="Q59" s="4" t="s">
        <v>2534</v>
      </c>
      <c r="R59" s="4"/>
      <c r="S59" s="4"/>
      <c r="T59" s="4" t="str">
        <f>HYPERLINK("http://slimages.macys.com/is/image/MCY/16789288 ")</f>
        <v xml:space="preserve">http://slimages.macys.com/is/image/MCY/16789288 </v>
      </c>
    </row>
    <row r="60" spans="1:20" ht="15" customHeight="1" x14ac:dyDescent="0.25">
      <c r="A60" s="4" t="s">
        <v>2489</v>
      </c>
      <c r="B60" s="2" t="s">
        <v>2487</v>
      </c>
      <c r="C60" s="2" t="s">
        <v>2488</v>
      </c>
      <c r="D60" s="5" t="s">
        <v>2490</v>
      </c>
      <c r="E60" s="4" t="s">
        <v>2491</v>
      </c>
      <c r="F60" s="6">
        <v>14271949</v>
      </c>
      <c r="G60" s="3">
        <v>14271949</v>
      </c>
      <c r="H60" s="7">
        <v>195237935086</v>
      </c>
      <c r="I60" s="8" t="s">
        <v>1673</v>
      </c>
      <c r="J60" s="4">
        <v>18</v>
      </c>
      <c r="K60" s="9">
        <v>48.99</v>
      </c>
      <c r="L60" s="9">
        <v>881.82</v>
      </c>
      <c r="M60" s="4" t="s">
        <v>1674</v>
      </c>
      <c r="N60" s="4" t="s">
        <v>2682</v>
      </c>
      <c r="O60" s="4" t="s">
        <v>2671</v>
      </c>
      <c r="P60" s="4" t="s">
        <v>2619</v>
      </c>
      <c r="Q60" s="4" t="s">
        <v>2568</v>
      </c>
      <c r="R60" s="4"/>
      <c r="S60" s="4"/>
      <c r="T60" s="4" t="str">
        <f>HYPERLINK("http://slimages.macys.com/is/image/MCY/21276323 ")</f>
        <v xml:space="preserve">http://slimages.macys.com/is/image/MCY/21276323 </v>
      </c>
    </row>
    <row r="61" spans="1:20" ht="15" customHeight="1" x14ac:dyDescent="0.25">
      <c r="A61" s="4" t="s">
        <v>2489</v>
      </c>
      <c r="B61" s="2" t="s">
        <v>2487</v>
      </c>
      <c r="C61" s="2" t="s">
        <v>2488</v>
      </c>
      <c r="D61" s="5" t="s">
        <v>2490</v>
      </c>
      <c r="E61" s="4" t="s">
        <v>2491</v>
      </c>
      <c r="F61" s="6">
        <v>14271949</v>
      </c>
      <c r="G61" s="3">
        <v>14271949</v>
      </c>
      <c r="H61" s="7">
        <v>733003643614</v>
      </c>
      <c r="I61" s="8" t="s">
        <v>1675</v>
      </c>
      <c r="J61" s="4">
        <v>1</v>
      </c>
      <c r="K61" s="9">
        <v>18.989999999999998</v>
      </c>
      <c r="L61" s="9">
        <v>18.989999999999998</v>
      </c>
      <c r="M61" s="4" t="s">
        <v>2984</v>
      </c>
      <c r="N61" s="4" t="s">
        <v>2567</v>
      </c>
      <c r="O61" s="4" t="s">
        <v>2629</v>
      </c>
      <c r="P61" s="4" t="s">
        <v>2515</v>
      </c>
      <c r="Q61" s="4" t="s">
        <v>2972</v>
      </c>
      <c r="R61" s="4"/>
      <c r="S61" s="4"/>
      <c r="T61" s="4" t="str">
        <f>HYPERLINK("http://slimages.macys.com/is/image/MCY/20008203 ")</f>
        <v xml:space="preserve">http://slimages.macys.com/is/image/MCY/20008203 </v>
      </c>
    </row>
    <row r="62" spans="1:20" ht="15" customHeight="1" x14ac:dyDescent="0.25">
      <c r="A62" s="4" t="s">
        <v>2489</v>
      </c>
      <c r="B62" s="2" t="s">
        <v>2487</v>
      </c>
      <c r="C62" s="2" t="s">
        <v>2488</v>
      </c>
      <c r="D62" s="5" t="s">
        <v>2490</v>
      </c>
      <c r="E62" s="4" t="s">
        <v>2491</v>
      </c>
      <c r="F62" s="6">
        <v>14271949</v>
      </c>
      <c r="G62" s="3">
        <v>14271949</v>
      </c>
      <c r="H62" s="7">
        <v>733004723643</v>
      </c>
      <c r="I62" s="8" t="s">
        <v>1676</v>
      </c>
      <c r="J62" s="4">
        <v>2</v>
      </c>
      <c r="K62" s="9">
        <v>12.99</v>
      </c>
      <c r="L62" s="9">
        <v>25.98</v>
      </c>
      <c r="M62" s="4" t="s">
        <v>3447</v>
      </c>
      <c r="N62" s="4" t="s">
        <v>2565</v>
      </c>
      <c r="O62" s="4" t="s">
        <v>2566</v>
      </c>
      <c r="P62" s="4" t="s">
        <v>2503</v>
      </c>
      <c r="Q62" s="4" t="s">
        <v>2504</v>
      </c>
      <c r="R62" s="4"/>
      <c r="S62" s="4"/>
      <c r="T62" s="4" t="str">
        <f>HYPERLINK("http://slimages.macys.com/is/image/MCY/19977913 ")</f>
        <v xml:space="preserve">http://slimages.macys.com/is/image/MCY/19977913 </v>
      </c>
    </row>
    <row r="63" spans="1:20" ht="15" customHeight="1" x14ac:dyDescent="0.25">
      <c r="A63" s="4" t="s">
        <v>2489</v>
      </c>
      <c r="B63" s="2" t="s">
        <v>2487</v>
      </c>
      <c r="C63" s="2" t="s">
        <v>2488</v>
      </c>
      <c r="D63" s="5" t="s">
        <v>2490</v>
      </c>
      <c r="E63" s="4" t="s">
        <v>2491</v>
      </c>
      <c r="F63" s="6">
        <v>14271949</v>
      </c>
      <c r="G63" s="3">
        <v>14271949</v>
      </c>
      <c r="H63" s="7">
        <v>733004723674</v>
      </c>
      <c r="I63" s="8" t="s">
        <v>1677</v>
      </c>
      <c r="J63" s="4">
        <v>2</v>
      </c>
      <c r="K63" s="9">
        <v>12.99</v>
      </c>
      <c r="L63" s="9">
        <v>25.98</v>
      </c>
      <c r="M63" s="4" t="s">
        <v>3447</v>
      </c>
      <c r="N63" s="4" t="s">
        <v>2565</v>
      </c>
      <c r="O63" s="4"/>
      <c r="P63" s="4" t="s">
        <v>2503</v>
      </c>
      <c r="Q63" s="4" t="s">
        <v>2504</v>
      </c>
      <c r="R63" s="4"/>
      <c r="S63" s="4"/>
      <c r="T63" s="4" t="str">
        <f>HYPERLINK("http://slimages.macys.com/is/image/MCY/19977913 ")</f>
        <v xml:space="preserve">http://slimages.macys.com/is/image/MCY/19977913 </v>
      </c>
    </row>
    <row r="64" spans="1:20" ht="15" customHeight="1" x14ac:dyDescent="0.25">
      <c r="A64" s="4" t="s">
        <v>2489</v>
      </c>
      <c r="B64" s="2" t="s">
        <v>2487</v>
      </c>
      <c r="C64" s="2" t="s">
        <v>2488</v>
      </c>
      <c r="D64" s="5" t="s">
        <v>2490</v>
      </c>
      <c r="E64" s="4" t="s">
        <v>2491</v>
      </c>
      <c r="F64" s="6">
        <v>14271949</v>
      </c>
      <c r="G64" s="3">
        <v>14271949</v>
      </c>
      <c r="H64" s="7">
        <v>733003926755</v>
      </c>
      <c r="I64" s="8" t="s">
        <v>3120</v>
      </c>
      <c r="J64" s="4">
        <v>1</v>
      </c>
      <c r="K64" s="9">
        <v>5.99</v>
      </c>
      <c r="L64" s="9">
        <v>5.99</v>
      </c>
      <c r="M64" s="4" t="s">
        <v>3121</v>
      </c>
      <c r="N64" s="4" t="s">
        <v>2531</v>
      </c>
      <c r="O64" s="4" t="s">
        <v>2493</v>
      </c>
      <c r="P64" s="4" t="s">
        <v>2503</v>
      </c>
      <c r="Q64" s="4" t="s">
        <v>2504</v>
      </c>
      <c r="R64" s="4"/>
      <c r="S64" s="4"/>
      <c r="T64" s="4" t="str">
        <f>HYPERLINK("http://slimages.macys.com/is/image/MCY/903950 ")</f>
        <v xml:space="preserve">http://slimages.macys.com/is/image/MCY/903950 </v>
      </c>
    </row>
    <row r="65" spans="1:20" ht="15" customHeight="1" x14ac:dyDescent="0.25">
      <c r="A65" s="4" t="s">
        <v>2489</v>
      </c>
      <c r="B65" s="2" t="s">
        <v>2487</v>
      </c>
      <c r="C65" s="2" t="s">
        <v>2488</v>
      </c>
      <c r="D65" s="5" t="s">
        <v>2490</v>
      </c>
      <c r="E65" s="4" t="s">
        <v>2491</v>
      </c>
      <c r="F65" s="6">
        <v>14271949</v>
      </c>
      <c r="G65" s="3">
        <v>14271949</v>
      </c>
      <c r="H65" s="7">
        <v>733004752070</v>
      </c>
      <c r="I65" s="8" t="s">
        <v>2128</v>
      </c>
      <c r="J65" s="4">
        <v>1</v>
      </c>
      <c r="K65" s="9">
        <v>13.99</v>
      </c>
      <c r="L65" s="9">
        <v>13.99</v>
      </c>
      <c r="M65" s="4" t="s">
        <v>1796</v>
      </c>
      <c r="N65" s="4" t="s">
        <v>2548</v>
      </c>
      <c r="O65" s="4" t="s">
        <v>2498</v>
      </c>
      <c r="P65" s="4" t="s">
        <v>2543</v>
      </c>
      <c r="Q65" s="4" t="s">
        <v>2528</v>
      </c>
      <c r="R65" s="4"/>
      <c r="S65" s="4"/>
      <c r="T65" s="4" t="str">
        <f>HYPERLINK("http://slimages.macys.com/is/image/MCY/20440815 ")</f>
        <v xml:space="preserve">http://slimages.macys.com/is/image/MCY/20440815 </v>
      </c>
    </row>
    <row r="66" spans="1:20" ht="15" customHeight="1" x14ac:dyDescent="0.25">
      <c r="A66" s="4" t="s">
        <v>2489</v>
      </c>
      <c r="B66" s="2" t="s">
        <v>2487</v>
      </c>
      <c r="C66" s="2" t="s">
        <v>2488</v>
      </c>
      <c r="D66" s="5" t="s">
        <v>2490</v>
      </c>
      <c r="E66" s="4" t="s">
        <v>2491</v>
      </c>
      <c r="F66" s="6">
        <v>14271949</v>
      </c>
      <c r="G66" s="3">
        <v>14271949</v>
      </c>
      <c r="H66" s="7">
        <v>762120086394</v>
      </c>
      <c r="I66" s="8" t="s">
        <v>1403</v>
      </c>
      <c r="J66" s="4">
        <v>1</v>
      </c>
      <c r="K66" s="9">
        <v>7.99</v>
      </c>
      <c r="L66" s="9">
        <v>7.99</v>
      </c>
      <c r="M66" s="4" t="s">
        <v>1776</v>
      </c>
      <c r="N66" s="4" t="s">
        <v>2638</v>
      </c>
      <c r="O66" s="4">
        <v>5</v>
      </c>
      <c r="P66" s="4" t="s">
        <v>2602</v>
      </c>
      <c r="Q66" s="4" t="s">
        <v>2528</v>
      </c>
      <c r="R66" s="4"/>
      <c r="S66" s="4"/>
      <c r="T66" s="4" t="str">
        <f>HYPERLINK("http://slimages.macys.com/is/image/MCY/1079693 ")</f>
        <v xml:space="preserve">http://slimages.macys.com/is/image/MCY/1079693 </v>
      </c>
    </row>
    <row r="67" spans="1:20" ht="15" customHeight="1" x14ac:dyDescent="0.25">
      <c r="A67" s="4" t="s">
        <v>2489</v>
      </c>
      <c r="B67" s="2" t="s">
        <v>2487</v>
      </c>
      <c r="C67" s="2" t="s">
        <v>2488</v>
      </c>
      <c r="D67" s="5" t="s">
        <v>2490</v>
      </c>
      <c r="E67" s="4" t="s">
        <v>2491</v>
      </c>
      <c r="F67" s="6">
        <v>14271949</v>
      </c>
      <c r="G67" s="3">
        <v>14271949</v>
      </c>
      <c r="H67" s="7">
        <v>196027059548</v>
      </c>
      <c r="I67" s="8" t="s">
        <v>3168</v>
      </c>
      <c r="J67" s="4">
        <v>1</v>
      </c>
      <c r="K67" s="9">
        <v>19.989999999999998</v>
      </c>
      <c r="L67" s="9">
        <v>19.989999999999998</v>
      </c>
      <c r="M67" s="4" t="s">
        <v>3169</v>
      </c>
      <c r="N67" s="4" t="s">
        <v>2544</v>
      </c>
      <c r="O67" s="4">
        <v>4</v>
      </c>
      <c r="P67" s="4" t="s">
        <v>2569</v>
      </c>
      <c r="Q67" s="4" t="s">
        <v>2590</v>
      </c>
      <c r="R67" s="4"/>
      <c r="S67" s="4"/>
      <c r="T67" s="4" t="str">
        <f>HYPERLINK("http://slimages.macys.com/is/image/MCY/20662533 ")</f>
        <v xml:space="preserve">http://slimages.macys.com/is/image/MCY/20662533 </v>
      </c>
    </row>
    <row r="68" spans="1:20" ht="15" customHeight="1" x14ac:dyDescent="0.25">
      <c r="A68" s="4" t="s">
        <v>2489</v>
      </c>
      <c r="B68" s="2" t="s">
        <v>2487</v>
      </c>
      <c r="C68" s="2" t="s">
        <v>2488</v>
      </c>
      <c r="D68" s="5" t="s">
        <v>2490</v>
      </c>
      <c r="E68" s="4" t="s">
        <v>2491</v>
      </c>
      <c r="F68" s="6">
        <v>14271949</v>
      </c>
      <c r="G68" s="3">
        <v>14271949</v>
      </c>
      <c r="H68" s="7">
        <v>195883380841</v>
      </c>
      <c r="I68" s="8" t="s">
        <v>1678</v>
      </c>
      <c r="J68" s="4">
        <v>1</v>
      </c>
      <c r="K68" s="9">
        <v>8.99</v>
      </c>
      <c r="L68" s="9">
        <v>8.99</v>
      </c>
      <c r="M68" s="4" t="s">
        <v>1679</v>
      </c>
      <c r="N68" s="4" t="s">
        <v>2632</v>
      </c>
      <c r="O68" s="4">
        <v>2</v>
      </c>
      <c r="P68" s="4" t="s">
        <v>2506</v>
      </c>
      <c r="Q68" s="4" t="s">
        <v>2527</v>
      </c>
      <c r="R68" s="4"/>
      <c r="S68" s="4"/>
      <c r="T68" s="4" t="str">
        <f>HYPERLINK("http://slimages.macys.com/is/image/MCY/20192104 ")</f>
        <v xml:space="preserve">http://slimages.macys.com/is/image/MCY/20192104 </v>
      </c>
    </row>
    <row r="69" spans="1:20" ht="15" customHeight="1" x14ac:dyDescent="0.25">
      <c r="A69" s="4" t="s">
        <v>2489</v>
      </c>
      <c r="B69" s="2" t="s">
        <v>2487</v>
      </c>
      <c r="C69" s="2" t="s">
        <v>2488</v>
      </c>
      <c r="D69" s="5" t="s">
        <v>2490</v>
      </c>
      <c r="E69" s="4" t="s">
        <v>2491</v>
      </c>
      <c r="F69" s="6">
        <v>14271949</v>
      </c>
      <c r="G69" s="3">
        <v>14271949</v>
      </c>
      <c r="H69" s="7">
        <v>196027055519</v>
      </c>
      <c r="I69" s="8" t="s">
        <v>1680</v>
      </c>
      <c r="J69" s="4">
        <v>4</v>
      </c>
      <c r="K69" s="9">
        <v>30.99</v>
      </c>
      <c r="L69" s="9">
        <v>123.96</v>
      </c>
      <c r="M69" s="4" t="s">
        <v>1681</v>
      </c>
      <c r="N69" s="4" t="s">
        <v>2544</v>
      </c>
      <c r="O69" s="4">
        <v>8</v>
      </c>
      <c r="P69" s="4" t="s">
        <v>2569</v>
      </c>
      <c r="Q69" s="4" t="s">
        <v>2590</v>
      </c>
      <c r="R69" s="4"/>
      <c r="S69" s="4"/>
      <c r="T69" s="4" t="str">
        <f>HYPERLINK("http://slimages.macys.com/is/image/MCY/20662525 ")</f>
        <v xml:space="preserve">http://slimages.macys.com/is/image/MCY/20662525 </v>
      </c>
    </row>
    <row r="70" spans="1:20" ht="15" customHeight="1" x14ac:dyDescent="0.25">
      <c r="A70" s="4" t="s">
        <v>2489</v>
      </c>
      <c r="B70" s="2" t="s">
        <v>2487</v>
      </c>
      <c r="C70" s="2" t="s">
        <v>2488</v>
      </c>
      <c r="D70" s="5" t="s">
        <v>2490</v>
      </c>
      <c r="E70" s="4" t="s">
        <v>2491</v>
      </c>
      <c r="F70" s="6">
        <v>14271949</v>
      </c>
      <c r="G70" s="3">
        <v>14271949</v>
      </c>
      <c r="H70" s="7">
        <v>733004747717</v>
      </c>
      <c r="I70" s="8" t="s">
        <v>1597</v>
      </c>
      <c r="J70" s="4">
        <v>1</v>
      </c>
      <c r="K70" s="9">
        <v>6.99</v>
      </c>
      <c r="L70" s="9">
        <v>6.99</v>
      </c>
      <c r="M70" s="4" t="s">
        <v>2947</v>
      </c>
      <c r="N70" s="4" t="s">
        <v>2505</v>
      </c>
      <c r="O70" s="4" t="s">
        <v>2559</v>
      </c>
      <c r="P70" s="4" t="s">
        <v>2503</v>
      </c>
      <c r="Q70" s="4" t="s">
        <v>2504</v>
      </c>
      <c r="R70" s="4"/>
      <c r="S70" s="4"/>
      <c r="T70" s="4" t="str">
        <f>HYPERLINK("http://slimages.macys.com/is/image/MCY/19977344 ")</f>
        <v xml:space="preserve">http://slimages.macys.com/is/image/MCY/19977344 </v>
      </c>
    </row>
    <row r="71" spans="1:20" ht="15" customHeight="1" x14ac:dyDescent="0.25">
      <c r="A71" s="4" t="s">
        <v>2489</v>
      </c>
      <c r="B71" s="2" t="s">
        <v>2487</v>
      </c>
      <c r="C71" s="2" t="s">
        <v>2488</v>
      </c>
      <c r="D71" s="5" t="s">
        <v>2490</v>
      </c>
      <c r="E71" s="4" t="s">
        <v>2491</v>
      </c>
      <c r="F71" s="6">
        <v>14271949</v>
      </c>
      <c r="G71" s="3">
        <v>14271949</v>
      </c>
      <c r="H71" s="7">
        <v>733004920288</v>
      </c>
      <c r="I71" s="8" t="s">
        <v>1682</v>
      </c>
      <c r="J71" s="4">
        <v>1</v>
      </c>
      <c r="K71" s="9">
        <v>7.99</v>
      </c>
      <c r="L71" s="9">
        <v>7.99</v>
      </c>
      <c r="M71" s="4" t="s">
        <v>2296</v>
      </c>
      <c r="N71" s="4" t="s">
        <v>2565</v>
      </c>
      <c r="O71" s="4" t="s">
        <v>2650</v>
      </c>
      <c r="P71" s="4" t="s">
        <v>2503</v>
      </c>
      <c r="Q71" s="4" t="s">
        <v>2504</v>
      </c>
      <c r="R71" s="4"/>
      <c r="S71" s="4"/>
      <c r="T71" s="4" t="str">
        <f>HYPERLINK("http://slimages.macys.com/is/image/MCY/19977735 ")</f>
        <v xml:space="preserve">http://slimages.macys.com/is/image/MCY/19977735 </v>
      </c>
    </row>
    <row r="72" spans="1:20" ht="15" customHeight="1" x14ac:dyDescent="0.25">
      <c r="A72" s="4" t="s">
        <v>2489</v>
      </c>
      <c r="B72" s="2" t="s">
        <v>2487</v>
      </c>
      <c r="C72" s="2" t="s">
        <v>2488</v>
      </c>
      <c r="D72" s="5" t="s">
        <v>2490</v>
      </c>
      <c r="E72" s="4" t="s">
        <v>2491</v>
      </c>
      <c r="F72" s="6">
        <v>14271949</v>
      </c>
      <c r="G72" s="3">
        <v>14271949</v>
      </c>
      <c r="H72" s="7">
        <v>733004747601</v>
      </c>
      <c r="I72" s="8" t="s">
        <v>1683</v>
      </c>
      <c r="J72" s="4">
        <v>1</v>
      </c>
      <c r="K72" s="9">
        <v>6.99</v>
      </c>
      <c r="L72" s="9">
        <v>6.99</v>
      </c>
      <c r="M72" s="4" t="s">
        <v>3272</v>
      </c>
      <c r="N72" s="4" t="s">
        <v>2505</v>
      </c>
      <c r="O72" s="4" t="s">
        <v>2502</v>
      </c>
      <c r="P72" s="4" t="s">
        <v>2503</v>
      </c>
      <c r="Q72" s="4" t="s">
        <v>2504</v>
      </c>
      <c r="R72" s="4"/>
      <c r="S72" s="4"/>
      <c r="T72" s="4" t="str">
        <f>HYPERLINK("http://slimages.macys.com/is/image/MCY/19977504 ")</f>
        <v xml:space="preserve">http://slimages.macys.com/is/image/MCY/19977504 </v>
      </c>
    </row>
    <row r="73" spans="1:20" ht="15" customHeight="1" x14ac:dyDescent="0.25">
      <c r="A73" s="4" t="s">
        <v>2489</v>
      </c>
      <c r="B73" s="2" t="s">
        <v>2487</v>
      </c>
      <c r="C73" s="2" t="s">
        <v>2488</v>
      </c>
      <c r="D73" s="5" t="s">
        <v>2490</v>
      </c>
      <c r="E73" s="4" t="s">
        <v>2491</v>
      </c>
      <c r="F73" s="6">
        <v>14271949</v>
      </c>
      <c r="G73" s="3">
        <v>14271949</v>
      </c>
      <c r="H73" s="7">
        <v>733004747748</v>
      </c>
      <c r="I73" s="8" t="s">
        <v>1684</v>
      </c>
      <c r="J73" s="4">
        <v>1</v>
      </c>
      <c r="K73" s="9">
        <v>6.99</v>
      </c>
      <c r="L73" s="9">
        <v>6.99</v>
      </c>
      <c r="M73" s="4" t="s">
        <v>2947</v>
      </c>
      <c r="N73" s="4" t="s">
        <v>2505</v>
      </c>
      <c r="O73" s="4" t="s">
        <v>2493</v>
      </c>
      <c r="P73" s="4" t="s">
        <v>2503</v>
      </c>
      <c r="Q73" s="4" t="s">
        <v>2504</v>
      </c>
      <c r="R73" s="4"/>
      <c r="S73" s="4"/>
      <c r="T73" s="4" t="str">
        <f>HYPERLINK("http://slimages.macys.com/is/image/MCY/19977344 ")</f>
        <v xml:space="preserve">http://slimages.macys.com/is/image/MCY/19977344 </v>
      </c>
    </row>
    <row r="74" spans="1:20" ht="15" customHeight="1" x14ac:dyDescent="0.25">
      <c r="A74" s="4" t="s">
        <v>2489</v>
      </c>
      <c r="B74" s="2" t="s">
        <v>2487</v>
      </c>
      <c r="C74" s="2" t="s">
        <v>2488</v>
      </c>
      <c r="D74" s="5" t="s">
        <v>2490</v>
      </c>
      <c r="E74" s="4" t="s">
        <v>2491</v>
      </c>
      <c r="F74" s="6">
        <v>14271949</v>
      </c>
      <c r="G74" s="3">
        <v>14271949</v>
      </c>
      <c r="H74" s="7">
        <v>889799988283</v>
      </c>
      <c r="I74" s="8" t="s">
        <v>1860</v>
      </c>
      <c r="J74" s="4">
        <v>24</v>
      </c>
      <c r="K74" s="9">
        <v>22.99</v>
      </c>
      <c r="L74" s="9">
        <v>551.76</v>
      </c>
      <c r="M74" s="4" t="s">
        <v>3440</v>
      </c>
      <c r="N74" s="4" t="s">
        <v>2544</v>
      </c>
      <c r="O74" s="4">
        <v>8</v>
      </c>
      <c r="P74" s="4" t="s">
        <v>2569</v>
      </c>
      <c r="Q74" s="4" t="s">
        <v>2590</v>
      </c>
      <c r="R74" s="4"/>
      <c r="S74" s="4"/>
      <c r="T74" s="4" t="str">
        <f>HYPERLINK("http://slimages.macys.com/is/image/MCY/20145291 ")</f>
        <v xml:space="preserve">http://slimages.macys.com/is/image/MCY/20145291 </v>
      </c>
    </row>
    <row r="75" spans="1:20" ht="15" customHeight="1" x14ac:dyDescent="0.25">
      <c r="A75" s="4" t="s">
        <v>2489</v>
      </c>
      <c r="B75" s="2" t="s">
        <v>2487</v>
      </c>
      <c r="C75" s="2" t="s">
        <v>2488</v>
      </c>
      <c r="D75" s="5" t="s">
        <v>2490</v>
      </c>
      <c r="E75" s="4" t="s">
        <v>2491</v>
      </c>
      <c r="F75" s="6">
        <v>14271949</v>
      </c>
      <c r="G75" s="3">
        <v>14271949</v>
      </c>
      <c r="H75" s="7">
        <v>840144218660</v>
      </c>
      <c r="I75" s="8" t="s">
        <v>3035</v>
      </c>
      <c r="J75" s="4">
        <v>1</v>
      </c>
      <c r="K75" s="9">
        <v>15.99</v>
      </c>
      <c r="L75" s="9">
        <v>15.99</v>
      </c>
      <c r="M75" s="4" t="s">
        <v>3036</v>
      </c>
      <c r="N75" s="4"/>
      <c r="O75" s="4" t="s">
        <v>2669</v>
      </c>
      <c r="P75" s="4" t="s">
        <v>2539</v>
      </c>
      <c r="Q75" s="4" t="s">
        <v>2670</v>
      </c>
      <c r="R75" s="4"/>
      <c r="S75" s="4"/>
      <c r="T75" s="4" t="str">
        <f>HYPERLINK("http://slimages.macys.com/is/image/MCY/20138243 ")</f>
        <v xml:space="preserve">http://slimages.macys.com/is/image/MCY/20138243 </v>
      </c>
    </row>
    <row r="76" spans="1:20" ht="15" customHeight="1" x14ac:dyDescent="0.25">
      <c r="A76" s="4" t="s">
        <v>2489</v>
      </c>
      <c r="B76" s="2" t="s">
        <v>2487</v>
      </c>
      <c r="C76" s="2" t="s">
        <v>2488</v>
      </c>
      <c r="D76" s="5" t="s">
        <v>2490</v>
      </c>
      <c r="E76" s="4" t="s">
        <v>2491</v>
      </c>
      <c r="F76" s="6">
        <v>14271949</v>
      </c>
      <c r="G76" s="3">
        <v>14271949</v>
      </c>
      <c r="H76" s="7">
        <v>194135479982</v>
      </c>
      <c r="I76" s="8" t="s">
        <v>1685</v>
      </c>
      <c r="J76" s="4">
        <v>1</v>
      </c>
      <c r="K76" s="9">
        <v>9.1</v>
      </c>
      <c r="L76" s="9">
        <v>9.1</v>
      </c>
      <c r="M76" s="4" t="s">
        <v>1686</v>
      </c>
      <c r="N76" s="4" t="s">
        <v>2518</v>
      </c>
      <c r="O76" s="4" t="s">
        <v>2591</v>
      </c>
      <c r="P76" s="4" t="s">
        <v>2494</v>
      </c>
      <c r="Q76" s="4" t="s">
        <v>2495</v>
      </c>
      <c r="R76" s="4"/>
      <c r="S76" s="4"/>
      <c r="T76" s="4" t="str">
        <f>HYPERLINK("http://slimages.macys.com/is/image/MCY/19837016 ")</f>
        <v xml:space="preserve">http://slimages.macys.com/is/image/MCY/19837016 </v>
      </c>
    </row>
    <row r="77" spans="1:20" ht="15" customHeight="1" x14ac:dyDescent="0.25">
      <c r="A77" s="4" t="s">
        <v>2489</v>
      </c>
      <c r="B77" s="2" t="s">
        <v>2487</v>
      </c>
      <c r="C77" s="2" t="s">
        <v>2488</v>
      </c>
      <c r="D77" s="5" t="s">
        <v>2490</v>
      </c>
      <c r="E77" s="4" t="s">
        <v>2491</v>
      </c>
      <c r="F77" s="6">
        <v>14271949</v>
      </c>
      <c r="G77" s="3">
        <v>14271949</v>
      </c>
      <c r="H77" s="7">
        <v>762120016278</v>
      </c>
      <c r="I77" s="8" t="s">
        <v>2371</v>
      </c>
      <c r="J77" s="4">
        <v>1</v>
      </c>
      <c r="K77" s="9">
        <v>11.99</v>
      </c>
      <c r="L77" s="9">
        <v>11.99</v>
      </c>
      <c r="M77" s="4" t="s">
        <v>2162</v>
      </c>
      <c r="N77" s="4" t="s">
        <v>2565</v>
      </c>
      <c r="O77" s="4" t="s">
        <v>2519</v>
      </c>
      <c r="P77" s="4" t="s">
        <v>2520</v>
      </c>
      <c r="Q77" s="4" t="s">
        <v>2521</v>
      </c>
      <c r="R77" s="4"/>
      <c r="S77" s="4"/>
      <c r="T77" s="4" t="str">
        <f>HYPERLINK("http://slimages.macys.com/is/image/MCY/20673081 ")</f>
        <v xml:space="preserve">http://slimages.macys.com/is/image/MCY/20673081 </v>
      </c>
    </row>
    <row r="78" spans="1:20" ht="15" customHeight="1" x14ac:dyDescent="0.25">
      <c r="A78" s="4" t="s">
        <v>2489</v>
      </c>
      <c r="B78" s="2" t="s">
        <v>2487</v>
      </c>
      <c r="C78" s="2" t="s">
        <v>2488</v>
      </c>
      <c r="D78" s="5" t="s">
        <v>2490</v>
      </c>
      <c r="E78" s="4" t="s">
        <v>2491</v>
      </c>
      <c r="F78" s="6">
        <v>14271949</v>
      </c>
      <c r="G78" s="3">
        <v>14271949</v>
      </c>
      <c r="H78" s="7">
        <v>194257620828</v>
      </c>
      <c r="I78" s="8" t="s">
        <v>1812</v>
      </c>
      <c r="J78" s="4">
        <v>1</v>
      </c>
      <c r="K78" s="9">
        <v>17.989999999999998</v>
      </c>
      <c r="L78" s="9">
        <v>17.989999999999998</v>
      </c>
      <c r="M78" s="4" t="s">
        <v>3147</v>
      </c>
      <c r="N78" s="4" t="s">
        <v>2497</v>
      </c>
      <c r="O78" s="4" t="s">
        <v>2498</v>
      </c>
      <c r="P78" s="4" t="s">
        <v>2619</v>
      </c>
      <c r="Q78" s="4" t="s">
        <v>2500</v>
      </c>
      <c r="R78" s="4"/>
      <c r="S78" s="4"/>
      <c r="T78" s="4" t="str">
        <f>HYPERLINK("http://slimages.macys.com/is/image/MCY/19933283 ")</f>
        <v xml:space="preserve">http://slimages.macys.com/is/image/MCY/19933283 </v>
      </c>
    </row>
    <row r="79" spans="1:20" ht="15" customHeight="1" x14ac:dyDescent="0.25">
      <c r="A79" s="4" t="s">
        <v>2489</v>
      </c>
      <c r="B79" s="2" t="s">
        <v>2487</v>
      </c>
      <c r="C79" s="2" t="s">
        <v>2488</v>
      </c>
      <c r="D79" s="5" t="s">
        <v>2490</v>
      </c>
      <c r="E79" s="4" t="s">
        <v>2491</v>
      </c>
      <c r="F79" s="6">
        <v>14271949</v>
      </c>
      <c r="G79" s="3">
        <v>14271949</v>
      </c>
      <c r="H79" s="7">
        <v>826409764455</v>
      </c>
      <c r="I79" s="8" t="s">
        <v>1687</v>
      </c>
      <c r="J79" s="4">
        <v>1</v>
      </c>
      <c r="K79" s="9">
        <v>16.989999999999998</v>
      </c>
      <c r="L79" s="9">
        <v>16.989999999999998</v>
      </c>
      <c r="M79" s="4" t="s">
        <v>1688</v>
      </c>
      <c r="N79" s="4" t="s">
        <v>2514</v>
      </c>
      <c r="O79" s="4" t="s">
        <v>2519</v>
      </c>
      <c r="P79" s="4" t="s">
        <v>2536</v>
      </c>
      <c r="Q79" s="4" t="s">
        <v>3100</v>
      </c>
      <c r="R79" s="4"/>
      <c r="S79" s="4"/>
      <c r="T79" s="4" t="str">
        <f>HYPERLINK("http://slimages.macys.com/is/image/MCY/19636589 ")</f>
        <v xml:space="preserve">http://slimages.macys.com/is/image/MCY/19636589 </v>
      </c>
    </row>
    <row r="80" spans="1:20" ht="15" customHeight="1" x14ac:dyDescent="0.25">
      <c r="A80" s="4" t="s">
        <v>2489</v>
      </c>
      <c r="B80" s="2" t="s">
        <v>2487</v>
      </c>
      <c r="C80" s="2" t="s">
        <v>2488</v>
      </c>
      <c r="D80" s="5" t="s">
        <v>2490</v>
      </c>
      <c r="E80" s="4" t="s">
        <v>2491</v>
      </c>
      <c r="F80" s="6">
        <v>14271949</v>
      </c>
      <c r="G80" s="3">
        <v>14271949</v>
      </c>
      <c r="H80" s="7">
        <v>194955949757</v>
      </c>
      <c r="I80" s="8" t="s">
        <v>1689</v>
      </c>
      <c r="J80" s="4">
        <v>1</v>
      </c>
      <c r="K80" s="9">
        <v>22.99</v>
      </c>
      <c r="L80" s="9">
        <v>22.99</v>
      </c>
      <c r="M80" s="4" t="s">
        <v>1636</v>
      </c>
      <c r="N80" s="4" t="s">
        <v>2638</v>
      </c>
      <c r="O80" s="4" t="s">
        <v>2498</v>
      </c>
      <c r="P80" s="4" t="s">
        <v>2499</v>
      </c>
      <c r="Q80" s="4" t="s">
        <v>2568</v>
      </c>
      <c r="R80" s="4"/>
      <c r="S80" s="4"/>
      <c r="T80" s="4" t="str">
        <f>HYPERLINK("http://slimages.macys.com/is/image/MCY/18249695 ")</f>
        <v xml:space="preserve">http://slimages.macys.com/is/image/MCY/18249695 </v>
      </c>
    </row>
    <row r="81" spans="1:20" ht="15" customHeight="1" x14ac:dyDescent="0.25">
      <c r="A81" s="4" t="s">
        <v>2489</v>
      </c>
      <c r="B81" s="2" t="s">
        <v>2487</v>
      </c>
      <c r="C81" s="2" t="s">
        <v>2488</v>
      </c>
      <c r="D81" s="5" t="s">
        <v>2490</v>
      </c>
      <c r="E81" s="4" t="s">
        <v>2491</v>
      </c>
      <c r="F81" s="6">
        <v>14271949</v>
      </c>
      <c r="G81" s="3">
        <v>14271949</v>
      </c>
      <c r="H81" s="7">
        <v>194135480841</v>
      </c>
      <c r="I81" s="8" t="s">
        <v>1690</v>
      </c>
      <c r="J81" s="4">
        <v>1</v>
      </c>
      <c r="K81" s="9">
        <v>17.309999999999999</v>
      </c>
      <c r="L81" s="9">
        <v>17.309999999999999</v>
      </c>
      <c r="M81" s="4" t="s">
        <v>1519</v>
      </c>
      <c r="N81" s="4"/>
      <c r="O81" s="4"/>
      <c r="P81" s="4" t="s">
        <v>2657</v>
      </c>
      <c r="Q81" s="4" t="s">
        <v>2658</v>
      </c>
      <c r="R81" s="4"/>
      <c r="S81" s="4"/>
      <c r="T81" s="4" t="str">
        <f>HYPERLINK("http://slimages.macys.com/is/image/MCY/19858204 ")</f>
        <v xml:space="preserve">http://slimages.macys.com/is/image/MCY/19858204 </v>
      </c>
    </row>
    <row r="82" spans="1:20" ht="15" customHeight="1" x14ac:dyDescent="0.25">
      <c r="A82" s="4" t="s">
        <v>2489</v>
      </c>
      <c r="B82" s="2" t="s">
        <v>2487</v>
      </c>
      <c r="C82" s="2" t="s">
        <v>2488</v>
      </c>
      <c r="D82" s="5" t="s">
        <v>2490</v>
      </c>
      <c r="E82" s="4" t="s">
        <v>2491</v>
      </c>
      <c r="F82" s="6">
        <v>14271949</v>
      </c>
      <c r="G82" s="3">
        <v>14271949</v>
      </c>
      <c r="H82" s="7">
        <v>733004112744</v>
      </c>
      <c r="I82" s="8" t="s">
        <v>1691</v>
      </c>
      <c r="J82" s="4">
        <v>1</v>
      </c>
      <c r="K82" s="9">
        <v>7.99</v>
      </c>
      <c r="L82" s="9">
        <v>7.99</v>
      </c>
      <c r="M82" s="4" t="s">
        <v>1692</v>
      </c>
      <c r="N82" s="4" t="s">
        <v>2523</v>
      </c>
      <c r="O82" s="4" t="s">
        <v>2629</v>
      </c>
      <c r="P82" s="4" t="s">
        <v>2520</v>
      </c>
      <c r="Q82" s="4" t="s">
        <v>2528</v>
      </c>
      <c r="R82" s="4"/>
      <c r="S82" s="4"/>
      <c r="T82" s="4" t="str">
        <f>HYPERLINK("http://slimages.macys.com/is/image/MCY/19844154 ")</f>
        <v xml:space="preserve">http://slimages.macys.com/is/image/MCY/19844154 </v>
      </c>
    </row>
    <row r="83" spans="1:20" ht="15" customHeight="1" x14ac:dyDescent="0.25">
      <c r="A83" s="4" t="s">
        <v>2489</v>
      </c>
      <c r="B83" s="2" t="s">
        <v>2487</v>
      </c>
      <c r="C83" s="2" t="s">
        <v>2488</v>
      </c>
      <c r="D83" s="5" t="s">
        <v>2490</v>
      </c>
      <c r="E83" s="4" t="s">
        <v>2491</v>
      </c>
      <c r="F83" s="6">
        <v>14271949</v>
      </c>
      <c r="G83" s="3">
        <v>14271949</v>
      </c>
      <c r="H83" s="7">
        <v>733003924454</v>
      </c>
      <c r="I83" s="8" t="s">
        <v>2920</v>
      </c>
      <c r="J83" s="4">
        <v>1</v>
      </c>
      <c r="K83" s="9">
        <v>6.99</v>
      </c>
      <c r="L83" s="9">
        <v>6.99</v>
      </c>
      <c r="M83" s="4" t="s">
        <v>2786</v>
      </c>
      <c r="N83" s="4" t="s">
        <v>2600</v>
      </c>
      <c r="O83" s="4" t="s">
        <v>2502</v>
      </c>
      <c r="P83" s="4" t="s">
        <v>2503</v>
      </c>
      <c r="Q83" s="4" t="s">
        <v>2504</v>
      </c>
      <c r="R83" s="4"/>
      <c r="S83" s="4"/>
      <c r="T83" s="4" t="str">
        <f>HYPERLINK("http://slimages.macys.com/is/image/MCY/896341 ")</f>
        <v xml:space="preserve">http://slimages.macys.com/is/image/MCY/896341 </v>
      </c>
    </row>
    <row r="84" spans="1:20" ht="15" customHeight="1" x14ac:dyDescent="0.25">
      <c r="A84" s="4" t="s">
        <v>2489</v>
      </c>
      <c r="B84" s="2" t="s">
        <v>2487</v>
      </c>
      <c r="C84" s="2" t="s">
        <v>2488</v>
      </c>
      <c r="D84" s="5" t="s">
        <v>2490</v>
      </c>
      <c r="E84" s="4" t="s">
        <v>2491</v>
      </c>
      <c r="F84" s="6">
        <v>14271949</v>
      </c>
      <c r="G84" s="3">
        <v>14271949</v>
      </c>
      <c r="H84" s="7">
        <v>733003926786</v>
      </c>
      <c r="I84" s="8" t="s">
        <v>3113</v>
      </c>
      <c r="J84" s="4">
        <v>1</v>
      </c>
      <c r="K84" s="9">
        <v>5.99</v>
      </c>
      <c r="L84" s="9">
        <v>5.99</v>
      </c>
      <c r="M84" s="4" t="s">
        <v>1632</v>
      </c>
      <c r="N84" s="4" t="s">
        <v>2600</v>
      </c>
      <c r="O84" s="4" t="s">
        <v>2601</v>
      </c>
      <c r="P84" s="4" t="s">
        <v>2503</v>
      </c>
      <c r="Q84" s="4" t="s">
        <v>2504</v>
      </c>
      <c r="R84" s="4"/>
      <c r="S84" s="4"/>
      <c r="T84" s="4" t="str">
        <f>HYPERLINK("http://slimages.macys.com/is/image/MCY/903950 ")</f>
        <v xml:space="preserve">http://slimages.macys.com/is/image/MCY/903950 </v>
      </c>
    </row>
    <row r="85" spans="1:20" ht="15" customHeight="1" x14ac:dyDescent="0.25">
      <c r="A85" s="4" t="s">
        <v>2489</v>
      </c>
      <c r="B85" s="2" t="s">
        <v>2487</v>
      </c>
      <c r="C85" s="2" t="s">
        <v>2488</v>
      </c>
      <c r="D85" s="5" t="s">
        <v>2490</v>
      </c>
      <c r="E85" s="4" t="s">
        <v>2491</v>
      </c>
      <c r="F85" s="6">
        <v>14271949</v>
      </c>
      <c r="G85" s="3">
        <v>14271949</v>
      </c>
      <c r="H85" s="7">
        <v>733004722714</v>
      </c>
      <c r="I85" s="8" t="s">
        <v>2044</v>
      </c>
      <c r="J85" s="4">
        <v>2</v>
      </c>
      <c r="K85" s="9">
        <v>25.99</v>
      </c>
      <c r="L85" s="9">
        <v>51.98</v>
      </c>
      <c r="M85" s="4" t="s">
        <v>3193</v>
      </c>
      <c r="N85" s="4" t="s">
        <v>2530</v>
      </c>
      <c r="O85" s="4" t="s">
        <v>2566</v>
      </c>
      <c r="P85" s="4" t="s">
        <v>2503</v>
      </c>
      <c r="Q85" s="4" t="s">
        <v>2504</v>
      </c>
      <c r="R85" s="4"/>
      <c r="S85" s="4"/>
      <c r="T85" s="4" t="str">
        <f>HYPERLINK("http://slimages.macys.com/is/image/MCY/19977902 ")</f>
        <v xml:space="preserve">http://slimages.macys.com/is/image/MCY/19977902 </v>
      </c>
    </row>
    <row r="86" spans="1:20" ht="15" customHeight="1" x14ac:dyDescent="0.25">
      <c r="A86" s="4" t="s">
        <v>2489</v>
      </c>
      <c r="B86" s="2" t="s">
        <v>2487</v>
      </c>
      <c r="C86" s="2" t="s">
        <v>2488</v>
      </c>
      <c r="D86" s="5" t="s">
        <v>2490</v>
      </c>
      <c r="E86" s="4" t="s">
        <v>2491</v>
      </c>
      <c r="F86" s="6">
        <v>14271949</v>
      </c>
      <c r="G86" s="3">
        <v>14271949</v>
      </c>
      <c r="H86" s="7">
        <v>733004293726</v>
      </c>
      <c r="I86" s="8" t="s">
        <v>1555</v>
      </c>
      <c r="J86" s="4">
        <v>2</v>
      </c>
      <c r="K86" s="9">
        <v>13.99</v>
      </c>
      <c r="L86" s="9">
        <v>27.98</v>
      </c>
      <c r="M86" s="4" t="s">
        <v>1267</v>
      </c>
      <c r="N86" s="4" t="s">
        <v>2600</v>
      </c>
      <c r="O86" s="4" t="s">
        <v>2559</v>
      </c>
      <c r="P86" s="4" t="s">
        <v>2503</v>
      </c>
      <c r="Q86" s="4" t="s">
        <v>2504</v>
      </c>
      <c r="R86" s="4"/>
      <c r="S86" s="4"/>
      <c r="T86" s="4" t="str">
        <f>HYPERLINK("http://slimages.macys.com/is/image/MCY/19754215 ")</f>
        <v xml:space="preserve">http://slimages.macys.com/is/image/MCY/19754215 </v>
      </c>
    </row>
    <row r="87" spans="1:20" ht="15" customHeight="1" x14ac:dyDescent="0.25">
      <c r="A87" s="4" t="s">
        <v>2489</v>
      </c>
      <c r="B87" s="2" t="s">
        <v>2487</v>
      </c>
      <c r="C87" s="2" t="s">
        <v>2488</v>
      </c>
      <c r="D87" s="5" t="s">
        <v>2490</v>
      </c>
      <c r="E87" s="4" t="s">
        <v>2491</v>
      </c>
      <c r="F87" s="6">
        <v>14271949</v>
      </c>
      <c r="G87" s="3">
        <v>14271949</v>
      </c>
      <c r="H87" s="7">
        <v>733004722721</v>
      </c>
      <c r="I87" s="8" t="s">
        <v>3205</v>
      </c>
      <c r="J87" s="4">
        <v>1</v>
      </c>
      <c r="K87" s="9">
        <v>25.99</v>
      </c>
      <c r="L87" s="9">
        <v>25.99</v>
      </c>
      <c r="M87" s="4" t="s">
        <v>3193</v>
      </c>
      <c r="N87" s="4" t="s">
        <v>2530</v>
      </c>
      <c r="O87" s="4" t="s">
        <v>2493</v>
      </c>
      <c r="P87" s="4" t="s">
        <v>2503</v>
      </c>
      <c r="Q87" s="4" t="s">
        <v>2504</v>
      </c>
      <c r="R87" s="4"/>
      <c r="S87" s="4"/>
      <c r="T87" s="4" t="str">
        <f>HYPERLINK("http://slimages.macys.com/is/image/MCY/19977902 ")</f>
        <v xml:space="preserve">http://slimages.macys.com/is/image/MCY/19977902 </v>
      </c>
    </row>
    <row r="88" spans="1:20" ht="15" customHeight="1" x14ac:dyDescent="0.25">
      <c r="A88" s="4" t="s">
        <v>2489</v>
      </c>
      <c r="B88" s="2" t="s">
        <v>2487</v>
      </c>
      <c r="C88" s="2" t="s">
        <v>2488</v>
      </c>
      <c r="D88" s="5" t="s">
        <v>2490</v>
      </c>
      <c r="E88" s="4" t="s">
        <v>2491</v>
      </c>
      <c r="F88" s="6">
        <v>14271949</v>
      </c>
      <c r="G88" s="3">
        <v>14271949</v>
      </c>
      <c r="H88" s="7">
        <v>81715950934</v>
      </c>
      <c r="I88" s="8" t="s">
        <v>1693</v>
      </c>
      <c r="J88" s="4">
        <v>6</v>
      </c>
      <c r="K88" s="9">
        <v>12.99</v>
      </c>
      <c r="L88" s="9">
        <v>77.94</v>
      </c>
      <c r="M88" s="4" t="s">
        <v>1694</v>
      </c>
      <c r="N88" s="4" t="s">
        <v>2523</v>
      </c>
      <c r="O88" s="4" t="s">
        <v>2538</v>
      </c>
      <c r="P88" s="4" t="s">
        <v>2539</v>
      </c>
      <c r="Q88" s="4" t="s">
        <v>2540</v>
      </c>
      <c r="R88" s="4"/>
      <c r="S88" s="4"/>
      <c r="T88" s="4" t="str">
        <f>HYPERLINK("http://slimages.macys.com/is/image/MCY/20478187 ")</f>
        <v xml:space="preserve">http://slimages.macys.com/is/image/MCY/20478187 </v>
      </c>
    </row>
    <row r="89" spans="1:20" ht="15" customHeight="1" x14ac:dyDescent="0.25">
      <c r="A89" s="4" t="s">
        <v>2489</v>
      </c>
      <c r="B89" s="2" t="s">
        <v>2487</v>
      </c>
      <c r="C89" s="2" t="s">
        <v>2488</v>
      </c>
      <c r="D89" s="5" t="s">
        <v>2490</v>
      </c>
      <c r="E89" s="4" t="s">
        <v>2491</v>
      </c>
      <c r="F89" s="6">
        <v>14271949</v>
      </c>
      <c r="G89" s="3">
        <v>14271949</v>
      </c>
      <c r="H89" s="7">
        <v>81715949617</v>
      </c>
      <c r="I89" s="8" t="s">
        <v>2809</v>
      </c>
      <c r="J89" s="4">
        <v>4</v>
      </c>
      <c r="K89" s="9">
        <v>12.99</v>
      </c>
      <c r="L89" s="9">
        <v>51.96</v>
      </c>
      <c r="M89" s="4" t="s">
        <v>2810</v>
      </c>
      <c r="N89" s="4" t="s">
        <v>2731</v>
      </c>
      <c r="O89" s="4" t="s">
        <v>2538</v>
      </c>
      <c r="P89" s="4" t="s">
        <v>2539</v>
      </c>
      <c r="Q89" s="4" t="s">
        <v>2540</v>
      </c>
      <c r="R89" s="4"/>
      <c r="S89" s="4"/>
      <c r="T89" s="4" t="str">
        <f>HYPERLINK("http://slimages.macys.com/is/image/MCY/20478205 ")</f>
        <v xml:space="preserve">http://slimages.macys.com/is/image/MCY/20478205 </v>
      </c>
    </row>
    <row r="90" spans="1:20" ht="15" customHeight="1" x14ac:dyDescent="0.25">
      <c r="A90" s="4" t="s">
        <v>2489</v>
      </c>
      <c r="B90" s="2" t="s">
        <v>2487</v>
      </c>
      <c r="C90" s="2" t="s">
        <v>2488</v>
      </c>
      <c r="D90" s="5" t="s">
        <v>2490</v>
      </c>
      <c r="E90" s="4" t="s">
        <v>2491</v>
      </c>
      <c r="F90" s="6">
        <v>14271949</v>
      </c>
      <c r="G90" s="3">
        <v>14271949</v>
      </c>
      <c r="H90" s="7">
        <v>194257595317</v>
      </c>
      <c r="I90" s="8" t="s">
        <v>1695</v>
      </c>
      <c r="J90" s="4">
        <v>1</v>
      </c>
      <c r="K90" s="9">
        <v>12.99</v>
      </c>
      <c r="L90" s="9">
        <v>12.99</v>
      </c>
      <c r="M90" s="4" t="s">
        <v>3344</v>
      </c>
      <c r="N90" s="4" t="s">
        <v>2531</v>
      </c>
      <c r="O90" s="4" t="s">
        <v>2524</v>
      </c>
      <c r="P90" s="4" t="s">
        <v>2619</v>
      </c>
      <c r="Q90" s="4" t="s">
        <v>2654</v>
      </c>
      <c r="R90" s="4"/>
      <c r="S90" s="4"/>
      <c r="T90" s="4" t="str">
        <f>HYPERLINK("http://slimages.macys.com/is/image/MCY/20016820 ")</f>
        <v xml:space="preserve">http://slimages.macys.com/is/image/MCY/20016820 </v>
      </c>
    </row>
    <row r="91" spans="1:20" ht="15" customHeight="1" x14ac:dyDescent="0.25">
      <c r="A91" s="4" t="s">
        <v>2489</v>
      </c>
      <c r="B91" s="2" t="s">
        <v>2487</v>
      </c>
      <c r="C91" s="2" t="s">
        <v>2488</v>
      </c>
      <c r="D91" s="5" t="s">
        <v>2490</v>
      </c>
      <c r="E91" s="4" t="s">
        <v>2491</v>
      </c>
      <c r="F91" s="6">
        <v>14271949</v>
      </c>
      <c r="G91" s="3">
        <v>14271949</v>
      </c>
      <c r="H91" s="7">
        <v>733004040337</v>
      </c>
      <c r="I91" s="8" t="s">
        <v>1264</v>
      </c>
      <c r="J91" s="4">
        <v>1</v>
      </c>
      <c r="K91" s="9">
        <v>19.989999999999998</v>
      </c>
      <c r="L91" s="9">
        <v>19.989999999999998</v>
      </c>
      <c r="M91" s="4" t="s">
        <v>1265</v>
      </c>
      <c r="N91" s="4" t="s">
        <v>2501</v>
      </c>
      <c r="O91" s="4" t="s">
        <v>2628</v>
      </c>
      <c r="P91" s="4" t="s">
        <v>2602</v>
      </c>
      <c r="Q91" s="4" t="s">
        <v>2528</v>
      </c>
      <c r="R91" s="4"/>
      <c r="S91" s="4"/>
      <c r="T91" s="4" t="str">
        <f>HYPERLINK("http://slimages.macys.com/is/image/MCY/19944190 ")</f>
        <v xml:space="preserve">http://slimages.macys.com/is/image/MCY/19944190 </v>
      </c>
    </row>
    <row r="92" spans="1:20" ht="15" customHeight="1" x14ac:dyDescent="0.25">
      <c r="A92" s="4" t="s">
        <v>2489</v>
      </c>
      <c r="B92" s="2" t="s">
        <v>2487</v>
      </c>
      <c r="C92" s="2" t="s">
        <v>2488</v>
      </c>
      <c r="D92" s="5" t="s">
        <v>2490</v>
      </c>
      <c r="E92" s="4" t="s">
        <v>2491</v>
      </c>
      <c r="F92" s="6">
        <v>14271949</v>
      </c>
      <c r="G92" s="3">
        <v>14271949</v>
      </c>
      <c r="H92" s="7">
        <v>194170308452</v>
      </c>
      <c r="I92" s="8" t="s">
        <v>1696</v>
      </c>
      <c r="J92" s="4">
        <v>1</v>
      </c>
      <c r="K92" s="9">
        <v>54.99</v>
      </c>
      <c r="L92" s="9">
        <v>54.99</v>
      </c>
      <c r="M92" s="4" t="s">
        <v>1697</v>
      </c>
      <c r="N92" s="4" t="s">
        <v>2731</v>
      </c>
      <c r="O92" s="4">
        <v>14</v>
      </c>
      <c r="P92" s="4" t="s">
        <v>2634</v>
      </c>
      <c r="Q92" s="4" t="s">
        <v>2635</v>
      </c>
      <c r="R92" s="4"/>
      <c r="S92" s="4"/>
      <c r="T92" s="4" t="str">
        <f>HYPERLINK("http://slimages.macys.com/is/image/MCY/20140188 ")</f>
        <v xml:space="preserve">http://slimages.macys.com/is/image/MCY/20140188 </v>
      </c>
    </row>
    <row r="93" spans="1:20" ht="15" customHeight="1" x14ac:dyDescent="0.25">
      <c r="A93" s="4" t="s">
        <v>2489</v>
      </c>
      <c r="B93" s="2" t="s">
        <v>2487</v>
      </c>
      <c r="C93" s="2" t="s">
        <v>2488</v>
      </c>
      <c r="D93" s="5" t="s">
        <v>2490</v>
      </c>
      <c r="E93" s="4" t="s">
        <v>2491</v>
      </c>
      <c r="F93" s="6">
        <v>14271949</v>
      </c>
      <c r="G93" s="3">
        <v>14271949</v>
      </c>
      <c r="H93" s="7">
        <v>733004591457</v>
      </c>
      <c r="I93" s="8" t="s">
        <v>2075</v>
      </c>
      <c r="J93" s="4">
        <v>2</v>
      </c>
      <c r="K93" s="9">
        <v>26.99</v>
      </c>
      <c r="L93" s="9">
        <v>53.98</v>
      </c>
      <c r="M93" s="4">
        <v>10013096900</v>
      </c>
      <c r="N93" s="4" t="s">
        <v>2505</v>
      </c>
      <c r="O93" s="4" t="s">
        <v>2559</v>
      </c>
      <c r="P93" s="4" t="s">
        <v>2503</v>
      </c>
      <c r="Q93" s="4" t="s">
        <v>2504</v>
      </c>
      <c r="R93" s="4"/>
      <c r="S93" s="4"/>
      <c r="T93" s="4" t="str">
        <f>HYPERLINK("http://slimages.macys.com/is/image/MCY/19754453 ")</f>
        <v xml:space="preserve">http://slimages.macys.com/is/image/MCY/19754453 </v>
      </c>
    </row>
    <row r="94" spans="1:20" ht="15" customHeight="1" x14ac:dyDescent="0.25">
      <c r="A94" s="4" t="s">
        <v>2489</v>
      </c>
      <c r="B94" s="2" t="s">
        <v>2487</v>
      </c>
      <c r="C94" s="2" t="s">
        <v>2488</v>
      </c>
      <c r="D94" s="5" t="s">
        <v>2490</v>
      </c>
      <c r="E94" s="4" t="s">
        <v>2491</v>
      </c>
      <c r="F94" s="6">
        <v>14271949</v>
      </c>
      <c r="G94" s="3">
        <v>14271949</v>
      </c>
      <c r="H94" s="7">
        <v>194257552686</v>
      </c>
      <c r="I94" s="8" t="s">
        <v>1698</v>
      </c>
      <c r="J94" s="4">
        <v>1</v>
      </c>
      <c r="K94" s="9">
        <v>9.99</v>
      </c>
      <c r="L94" s="9">
        <v>9.99</v>
      </c>
      <c r="M94" s="4" t="s">
        <v>3029</v>
      </c>
      <c r="N94" s="4" t="s">
        <v>2571</v>
      </c>
      <c r="O94" s="4">
        <v>6</v>
      </c>
      <c r="P94" s="4" t="s">
        <v>2499</v>
      </c>
      <c r="Q94" s="4" t="s">
        <v>2525</v>
      </c>
      <c r="R94" s="4"/>
      <c r="S94" s="4"/>
      <c r="T94" s="4" t="str">
        <f>HYPERLINK("http://slimages.macys.com/is/image/MCY/19944429 ")</f>
        <v xml:space="preserve">http://slimages.macys.com/is/image/MCY/19944429 </v>
      </c>
    </row>
    <row r="95" spans="1:20" ht="15" customHeight="1" x14ac:dyDescent="0.25">
      <c r="A95" s="4" t="s">
        <v>2489</v>
      </c>
      <c r="B95" s="2" t="s">
        <v>2487</v>
      </c>
      <c r="C95" s="2" t="s">
        <v>2488</v>
      </c>
      <c r="D95" s="5" t="s">
        <v>2490</v>
      </c>
      <c r="E95" s="4" t="s">
        <v>2491</v>
      </c>
      <c r="F95" s="6">
        <v>14271949</v>
      </c>
      <c r="G95" s="3">
        <v>14271949</v>
      </c>
      <c r="H95" s="7">
        <v>195883641836</v>
      </c>
      <c r="I95" s="8" t="s">
        <v>1699</v>
      </c>
      <c r="J95" s="4">
        <v>1</v>
      </c>
      <c r="K95" s="9">
        <v>5.99</v>
      </c>
      <c r="L95" s="9">
        <v>5.99</v>
      </c>
      <c r="M95" s="4" t="s">
        <v>1700</v>
      </c>
      <c r="N95" s="4" t="s">
        <v>2526</v>
      </c>
      <c r="O95" s="4">
        <v>2</v>
      </c>
      <c r="P95" s="4" t="s">
        <v>2506</v>
      </c>
      <c r="Q95" s="4" t="s">
        <v>2527</v>
      </c>
      <c r="R95" s="4"/>
      <c r="S95" s="4"/>
      <c r="T95" s="4" t="str">
        <f>HYPERLINK("http://slimages.macys.com/is/image/MCY/20726196 ")</f>
        <v xml:space="preserve">http://slimages.macys.com/is/image/MCY/20726196 </v>
      </c>
    </row>
    <row r="96" spans="1:20" ht="15" customHeight="1" x14ac:dyDescent="0.25">
      <c r="A96" s="4" t="s">
        <v>2489</v>
      </c>
      <c r="B96" s="2" t="s">
        <v>2487</v>
      </c>
      <c r="C96" s="2" t="s">
        <v>2488</v>
      </c>
      <c r="D96" s="5" t="s">
        <v>2490</v>
      </c>
      <c r="E96" s="4" t="s">
        <v>2491</v>
      </c>
      <c r="F96" s="6">
        <v>14271949</v>
      </c>
      <c r="G96" s="3">
        <v>14271949</v>
      </c>
      <c r="H96" s="7">
        <v>196027102411</v>
      </c>
      <c r="I96" s="8" t="s">
        <v>1974</v>
      </c>
      <c r="J96" s="4">
        <v>1</v>
      </c>
      <c r="K96" s="9">
        <v>25.99</v>
      </c>
      <c r="L96" s="9">
        <v>25.99</v>
      </c>
      <c r="M96" s="4" t="s">
        <v>1975</v>
      </c>
      <c r="N96" s="4" t="s">
        <v>2544</v>
      </c>
      <c r="O96" s="4" t="s">
        <v>2524</v>
      </c>
      <c r="P96" s="4" t="s">
        <v>2569</v>
      </c>
      <c r="Q96" s="4" t="s">
        <v>2590</v>
      </c>
      <c r="R96" s="4"/>
      <c r="S96" s="4"/>
      <c r="T96" s="4" t="str">
        <f>HYPERLINK("http://slimages.macys.com/is/image/MCY/20783379 ")</f>
        <v xml:space="preserve">http://slimages.macys.com/is/image/MCY/20783379 </v>
      </c>
    </row>
    <row r="97" spans="1:20" ht="15" customHeight="1" x14ac:dyDescent="0.25">
      <c r="A97" s="4" t="s">
        <v>2489</v>
      </c>
      <c r="B97" s="2" t="s">
        <v>2487</v>
      </c>
      <c r="C97" s="2" t="s">
        <v>2488</v>
      </c>
      <c r="D97" s="5" t="s">
        <v>2490</v>
      </c>
      <c r="E97" s="4" t="s">
        <v>2491</v>
      </c>
      <c r="F97" s="6">
        <v>14271949</v>
      </c>
      <c r="G97" s="3">
        <v>14271949</v>
      </c>
      <c r="H97" s="7">
        <v>195883923000</v>
      </c>
      <c r="I97" s="8" t="s">
        <v>1701</v>
      </c>
      <c r="J97" s="4">
        <v>1</v>
      </c>
      <c r="K97" s="9">
        <v>8.31</v>
      </c>
      <c r="L97" s="9">
        <v>8.31</v>
      </c>
      <c r="M97" s="4" t="s">
        <v>3158</v>
      </c>
      <c r="N97" s="4" t="s">
        <v>2508</v>
      </c>
      <c r="O97" s="4">
        <v>7</v>
      </c>
      <c r="P97" s="4" t="s">
        <v>2506</v>
      </c>
      <c r="Q97" s="4" t="s">
        <v>2527</v>
      </c>
      <c r="R97" s="4"/>
      <c r="S97" s="4"/>
      <c r="T97" s="4" t="str">
        <f>HYPERLINK("http://slimages.macys.com/is/image/MCY/20905079 ")</f>
        <v xml:space="preserve">http://slimages.macys.com/is/image/MCY/20905079 </v>
      </c>
    </row>
    <row r="98" spans="1:20" ht="15" customHeight="1" x14ac:dyDescent="0.25">
      <c r="A98" s="4" t="s">
        <v>2489</v>
      </c>
      <c r="B98" s="2" t="s">
        <v>2487</v>
      </c>
      <c r="C98" s="2" t="s">
        <v>2488</v>
      </c>
      <c r="D98" s="5" t="s">
        <v>2490</v>
      </c>
      <c r="E98" s="4" t="s">
        <v>2491</v>
      </c>
      <c r="F98" s="6">
        <v>14271949</v>
      </c>
      <c r="G98" s="3">
        <v>14271949</v>
      </c>
      <c r="H98" s="7">
        <v>195883273648</v>
      </c>
      <c r="I98" s="8" t="s">
        <v>1702</v>
      </c>
      <c r="J98" s="4">
        <v>2</v>
      </c>
      <c r="K98" s="9">
        <v>10.99</v>
      </c>
      <c r="L98" s="9">
        <v>21.98</v>
      </c>
      <c r="M98" s="4" t="s">
        <v>1517</v>
      </c>
      <c r="N98" s="4" t="s">
        <v>2728</v>
      </c>
      <c r="O98" s="4">
        <v>6</v>
      </c>
      <c r="P98" s="4" t="s">
        <v>2536</v>
      </c>
      <c r="Q98" s="4" t="s">
        <v>2944</v>
      </c>
      <c r="R98" s="4"/>
      <c r="S98" s="4"/>
      <c r="T98" s="4" t="str">
        <f>HYPERLINK("http://slimages.macys.com/is/image/MCY/19856681 ")</f>
        <v xml:space="preserve">http://slimages.macys.com/is/image/MCY/19856681 </v>
      </c>
    </row>
    <row r="99" spans="1:20" ht="15" customHeight="1" x14ac:dyDescent="0.25">
      <c r="A99" s="4" t="s">
        <v>2489</v>
      </c>
      <c r="B99" s="2" t="s">
        <v>2487</v>
      </c>
      <c r="C99" s="2" t="s">
        <v>2488</v>
      </c>
      <c r="D99" s="5" t="s">
        <v>2490</v>
      </c>
      <c r="E99" s="4" t="s">
        <v>2491</v>
      </c>
      <c r="F99" s="6">
        <v>14271949</v>
      </c>
      <c r="G99" s="3">
        <v>14271949</v>
      </c>
      <c r="H99" s="7">
        <v>733004399381</v>
      </c>
      <c r="I99" s="8" t="s">
        <v>1950</v>
      </c>
      <c r="J99" s="4">
        <v>9</v>
      </c>
      <c r="K99" s="9">
        <v>21.99</v>
      </c>
      <c r="L99" s="9">
        <v>197.91</v>
      </c>
      <c r="M99" s="4" t="s">
        <v>1910</v>
      </c>
      <c r="N99" s="4" t="s">
        <v>2561</v>
      </c>
      <c r="O99" s="4" t="s">
        <v>2653</v>
      </c>
      <c r="P99" s="4" t="s">
        <v>2515</v>
      </c>
      <c r="Q99" s="4" t="s">
        <v>2672</v>
      </c>
      <c r="R99" s="4"/>
      <c r="S99" s="4"/>
      <c r="T99" s="4" t="str">
        <f>HYPERLINK("http://slimages.macys.com/is/image/MCY/20143304 ")</f>
        <v xml:space="preserve">http://slimages.macys.com/is/image/MCY/20143304 </v>
      </c>
    </row>
    <row r="100" spans="1:20" ht="15" customHeight="1" x14ac:dyDescent="0.25">
      <c r="A100" s="4" t="s">
        <v>2489</v>
      </c>
      <c r="B100" s="2" t="s">
        <v>2487</v>
      </c>
      <c r="C100" s="2" t="s">
        <v>2488</v>
      </c>
      <c r="D100" s="5" t="s">
        <v>2490</v>
      </c>
      <c r="E100" s="4" t="s">
        <v>2491</v>
      </c>
      <c r="F100" s="6">
        <v>14271949</v>
      </c>
      <c r="G100" s="3">
        <v>14271949</v>
      </c>
      <c r="H100" s="7">
        <v>196027073216</v>
      </c>
      <c r="I100" s="8" t="s">
        <v>1703</v>
      </c>
      <c r="J100" s="4">
        <v>11</v>
      </c>
      <c r="K100" s="9">
        <v>17.989999999999998</v>
      </c>
      <c r="L100" s="9">
        <v>197.89</v>
      </c>
      <c r="M100" s="4" t="s">
        <v>1704</v>
      </c>
      <c r="N100" s="4" t="s">
        <v>2544</v>
      </c>
      <c r="O100" s="4" t="s">
        <v>2705</v>
      </c>
      <c r="P100" s="4" t="s">
        <v>2569</v>
      </c>
      <c r="Q100" s="4" t="s">
        <v>2570</v>
      </c>
      <c r="R100" s="4"/>
      <c r="S100" s="4"/>
      <c r="T100" s="4" t="str">
        <f>HYPERLINK("http://slimages.macys.com/is/image/MCY/20662587 ")</f>
        <v xml:space="preserve">http://slimages.macys.com/is/image/MCY/20662587 </v>
      </c>
    </row>
    <row r="101" spans="1:20" ht="15" customHeight="1" x14ac:dyDescent="0.25">
      <c r="A101" s="4" t="s">
        <v>2489</v>
      </c>
      <c r="B101" s="2" t="s">
        <v>2487</v>
      </c>
      <c r="C101" s="2" t="s">
        <v>2488</v>
      </c>
      <c r="D101" s="5" t="s">
        <v>2490</v>
      </c>
      <c r="E101" s="4" t="s">
        <v>2491</v>
      </c>
      <c r="F101" s="6">
        <v>14271949</v>
      </c>
      <c r="G101" s="3">
        <v>14271949</v>
      </c>
      <c r="H101" s="7">
        <v>196027094662</v>
      </c>
      <c r="I101" s="8" t="s">
        <v>1705</v>
      </c>
      <c r="J101" s="4">
        <v>12</v>
      </c>
      <c r="K101" s="9">
        <v>23.99</v>
      </c>
      <c r="L101" s="9">
        <v>287.88</v>
      </c>
      <c r="M101" s="4" t="s">
        <v>1706</v>
      </c>
      <c r="N101" s="4" t="s">
        <v>2544</v>
      </c>
      <c r="O101" s="10">
        <v>45084</v>
      </c>
      <c r="P101" s="4" t="s">
        <v>2569</v>
      </c>
      <c r="Q101" s="4" t="s">
        <v>2898</v>
      </c>
      <c r="R101" s="4"/>
      <c r="S101" s="4"/>
      <c r="T101" s="4" t="str">
        <f>HYPERLINK("http://slimages.macys.com/is/image/MCY/20750194 ")</f>
        <v xml:space="preserve">http://slimages.macys.com/is/image/MCY/20750194 </v>
      </c>
    </row>
    <row r="102" spans="1:20" ht="15" customHeight="1" x14ac:dyDescent="0.25">
      <c r="A102" s="4" t="s">
        <v>2489</v>
      </c>
      <c r="B102" s="2" t="s">
        <v>2487</v>
      </c>
      <c r="C102" s="2" t="s">
        <v>2488</v>
      </c>
      <c r="D102" s="5" t="s">
        <v>2490</v>
      </c>
      <c r="E102" s="4" t="s">
        <v>2491</v>
      </c>
      <c r="F102" s="6">
        <v>14271949</v>
      </c>
      <c r="G102" s="3">
        <v>14271949</v>
      </c>
      <c r="H102" s="7">
        <v>81715951207</v>
      </c>
      <c r="I102" s="8" t="s">
        <v>2297</v>
      </c>
      <c r="J102" s="4">
        <v>12</v>
      </c>
      <c r="K102" s="9">
        <v>12.99</v>
      </c>
      <c r="L102" s="9">
        <v>155.88</v>
      </c>
      <c r="M102" s="4" t="s">
        <v>2298</v>
      </c>
      <c r="N102" s="4" t="s">
        <v>2492</v>
      </c>
      <c r="O102" s="4" t="s">
        <v>2538</v>
      </c>
      <c r="P102" s="4" t="s">
        <v>2539</v>
      </c>
      <c r="Q102" s="4" t="s">
        <v>2540</v>
      </c>
      <c r="R102" s="4"/>
      <c r="S102" s="4"/>
      <c r="T102" s="4" t="str">
        <f>HYPERLINK("http://slimages.macys.com/is/image/MCY/20478241 ")</f>
        <v xml:space="preserve">http://slimages.macys.com/is/image/MCY/20478241 </v>
      </c>
    </row>
    <row r="103" spans="1:20" ht="15" customHeight="1" x14ac:dyDescent="0.25">
      <c r="A103" s="4" t="s">
        <v>2489</v>
      </c>
      <c r="B103" s="2" t="s">
        <v>2487</v>
      </c>
      <c r="C103" s="2" t="s">
        <v>2488</v>
      </c>
      <c r="D103" s="5" t="s">
        <v>2490</v>
      </c>
      <c r="E103" s="4" t="s">
        <v>2491</v>
      </c>
      <c r="F103" s="6">
        <v>14271949</v>
      </c>
      <c r="G103" s="3">
        <v>14271949</v>
      </c>
      <c r="H103" s="7">
        <v>733003926892</v>
      </c>
      <c r="I103" s="8" t="s">
        <v>1470</v>
      </c>
      <c r="J103" s="4">
        <v>3</v>
      </c>
      <c r="K103" s="9">
        <v>5.99</v>
      </c>
      <c r="L103" s="9">
        <v>17.97</v>
      </c>
      <c r="M103" s="4" t="s">
        <v>1227</v>
      </c>
      <c r="N103" s="4" t="s">
        <v>2682</v>
      </c>
      <c r="O103" s="4" t="s">
        <v>2566</v>
      </c>
      <c r="P103" s="4" t="s">
        <v>2503</v>
      </c>
      <c r="Q103" s="4" t="s">
        <v>2504</v>
      </c>
      <c r="R103" s="4"/>
      <c r="S103" s="4"/>
      <c r="T103" s="4" t="str">
        <f>HYPERLINK("http://slimages.macys.com/is/image/MCY/903950 ")</f>
        <v xml:space="preserve">http://slimages.macys.com/is/image/MCY/903950 </v>
      </c>
    </row>
    <row r="104" spans="1:20" ht="15" customHeight="1" x14ac:dyDescent="0.25">
      <c r="A104" s="4" t="s">
        <v>2489</v>
      </c>
      <c r="B104" s="2" t="s">
        <v>2487</v>
      </c>
      <c r="C104" s="2" t="s">
        <v>2488</v>
      </c>
      <c r="D104" s="5" t="s">
        <v>2490</v>
      </c>
      <c r="E104" s="4" t="s">
        <v>2491</v>
      </c>
      <c r="F104" s="6">
        <v>14271949</v>
      </c>
      <c r="G104" s="3">
        <v>14271949</v>
      </c>
      <c r="H104" s="7">
        <v>762120121217</v>
      </c>
      <c r="I104" s="8" t="s">
        <v>1707</v>
      </c>
      <c r="J104" s="4">
        <v>2</v>
      </c>
      <c r="K104" s="9">
        <v>5.99</v>
      </c>
      <c r="L104" s="9">
        <v>11.98</v>
      </c>
      <c r="M104" s="4" t="s">
        <v>1708</v>
      </c>
      <c r="N104" s="4" t="s">
        <v>2497</v>
      </c>
      <c r="O104" s="4" t="s">
        <v>2601</v>
      </c>
      <c r="P104" s="4" t="s">
        <v>2503</v>
      </c>
      <c r="Q104" s="4" t="s">
        <v>2504</v>
      </c>
      <c r="R104" s="4"/>
      <c r="S104" s="4"/>
      <c r="T104" s="4" t="str">
        <f>HYPERLINK("http://slimages.macys.com/is/image/MCY/20386395 ")</f>
        <v xml:space="preserve">http://slimages.macys.com/is/image/MCY/20386395 </v>
      </c>
    </row>
    <row r="105" spans="1:20" ht="15" customHeight="1" x14ac:dyDescent="0.25">
      <c r="A105" s="4" t="s">
        <v>2489</v>
      </c>
      <c r="B105" s="2" t="s">
        <v>2487</v>
      </c>
      <c r="C105" s="2" t="s">
        <v>2488</v>
      </c>
      <c r="D105" s="5" t="s">
        <v>2490</v>
      </c>
      <c r="E105" s="4" t="s">
        <v>2491</v>
      </c>
      <c r="F105" s="6">
        <v>14271949</v>
      </c>
      <c r="G105" s="3">
        <v>14271949</v>
      </c>
      <c r="H105" s="7">
        <v>889799981444</v>
      </c>
      <c r="I105" s="8" t="s">
        <v>2117</v>
      </c>
      <c r="J105" s="4">
        <v>16</v>
      </c>
      <c r="K105" s="9">
        <v>17.989999999999998</v>
      </c>
      <c r="L105" s="9">
        <v>287.83999999999997</v>
      </c>
      <c r="M105" s="4" t="s">
        <v>1949</v>
      </c>
      <c r="N105" s="4" t="s">
        <v>2544</v>
      </c>
      <c r="O105" s="4" t="s">
        <v>2587</v>
      </c>
      <c r="P105" s="4" t="s">
        <v>2569</v>
      </c>
      <c r="Q105" s="4" t="s">
        <v>2570</v>
      </c>
      <c r="R105" s="4"/>
      <c r="S105" s="4"/>
      <c r="T105" s="4" t="str">
        <f>HYPERLINK("http://slimages.macys.com/is/image/MCY/20145302 ")</f>
        <v xml:space="preserve">http://slimages.macys.com/is/image/MCY/20145302 </v>
      </c>
    </row>
    <row r="106" spans="1:20" ht="15" customHeight="1" x14ac:dyDescent="0.25">
      <c r="A106" s="4" t="s">
        <v>2489</v>
      </c>
      <c r="B106" s="2" t="s">
        <v>2487</v>
      </c>
      <c r="C106" s="2" t="s">
        <v>2488</v>
      </c>
      <c r="D106" s="5" t="s">
        <v>2490</v>
      </c>
      <c r="E106" s="4" t="s">
        <v>2491</v>
      </c>
      <c r="F106" s="6">
        <v>14271949</v>
      </c>
      <c r="G106" s="3">
        <v>14271949</v>
      </c>
      <c r="H106" s="7">
        <v>192042807171</v>
      </c>
      <c r="I106" s="8" t="s">
        <v>1709</v>
      </c>
      <c r="J106" s="4">
        <v>1</v>
      </c>
      <c r="K106" s="9">
        <v>15</v>
      </c>
      <c r="L106" s="9">
        <v>15</v>
      </c>
      <c r="M106" s="4" t="s">
        <v>1710</v>
      </c>
      <c r="N106" s="4" t="s">
        <v>2501</v>
      </c>
      <c r="O106" s="4"/>
      <c r="P106" s="4" t="s">
        <v>2622</v>
      </c>
      <c r="Q106" s="4" t="s">
        <v>2623</v>
      </c>
      <c r="R106" s="4" t="s">
        <v>2552</v>
      </c>
      <c r="S106" s="4" t="s">
        <v>3256</v>
      </c>
      <c r="T106" s="4" t="str">
        <f>HYPERLINK("http://slimages.macys.com/is/image/MCY/12954201 ")</f>
        <v xml:space="preserve">http://slimages.macys.com/is/image/MCY/12954201 </v>
      </c>
    </row>
    <row r="107" spans="1:20" ht="15" customHeight="1" x14ac:dyDescent="0.25">
      <c r="A107" s="4" t="s">
        <v>2489</v>
      </c>
      <c r="B107" s="2" t="s">
        <v>2487</v>
      </c>
      <c r="C107" s="2" t="s">
        <v>2488</v>
      </c>
      <c r="D107" s="5" t="s">
        <v>2490</v>
      </c>
      <c r="E107" s="4" t="s">
        <v>2491</v>
      </c>
      <c r="F107" s="6">
        <v>14271949</v>
      </c>
      <c r="G107" s="3">
        <v>14271949</v>
      </c>
      <c r="H107" s="7">
        <v>733001124993</v>
      </c>
      <c r="I107" s="8" t="s">
        <v>2460</v>
      </c>
      <c r="J107" s="4">
        <v>1</v>
      </c>
      <c r="K107" s="9">
        <v>7.99</v>
      </c>
      <c r="L107" s="9">
        <v>7.99</v>
      </c>
      <c r="M107" s="4" t="s">
        <v>2757</v>
      </c>
      <c r="N107" s="4" t="s">
        <v>2501</v>
      </c>
      <c r="O107" s="4" t="s">
        <v>2628</v>
      </c>
      <c r="P107" s="4" t="s">
        <v>2503</v>
      </c>
      <c r="Q107" s="4" t="s">
        <v>2504</v>
      </c>
      <c r="R107" s="4"/>
      <c r="S107" s="4"/>
      <c r="T107" s="4" t="str">
        <f>HYPERLINK("http://slimages.macys.com/is/image/MCY/14885497 ")</f>
        <v xml:space="preserve">http://slimages.macys.com/is/image/MCY/14885497 </v>
      </c>
    </row>
    <row r="108" spans="1:20" ht="15" customHeight="1" x14ac:dyDescent="0.25">
      <c r="A108" s="4" t="s">
        <v>2489</v>
      </c>
      <c r="B108" s="2" t="s">
        <v>2487</v>
      </c>
      <c r="C108" s="2" t="s">
        <v>2488</v>
      </c>
      <c r="D108" s="5" t="s">
        <v>2490</v>
      </c>
      <c r="E108" s="4" t="s">
        <v>2491</v>
      </c>
      <c r="F108" s="6">
        <v>14271949</v>
      </c>
      <c r="G108" s="3">
        <v>14271949</v>
      </c>
      <c r="H108" s="7">
        <v>733004738524</v>
      </c>
      <c r="I108" s="8" t="s">
        <v>1711</v>
      </c>
      <c r="J108" s="4">
        <v>1</v>
      </c>
      <c r="K108" s="9">
        <v>6.99</v>
      </c>
      <c r="L108" s="9">
        <v>6.99</v>
      </c>
      <c r="M108" s="4" t="s">
        <v>2462</v>
      </c>
      <c r="N108" s="4" t="s">
        <v>2501</v>
      </c>
      <c r="O108" s="4" t="s">
        <v>2566</v>
      </c>
      <c r="P108" s="4" t="s">
        <v>2503</v>
      </c>
      <c r="Q108" s="4" t="s">
        <v>2504</v>
      </c>
      <c r="R108" s="4"/>
      <c r="S108" s="4"/>
      <c r="T108" s="4" t="str">
        <f>HYPERLINK("http://slimages.macys.com/is/image/MCY/19978055 ")</f>
        <v xml:space="preserve">http://slimages.macys.com/is/image/MCY/19978055 </v>
      </c>
    </row>
    <row r="109" spans="1:20" ht="15" customHeight="1" x14ac:dyDescent="0.25">
      <c r="A109" s="4" t="s">
        <v>2489</v>
      </c>
      <c r="B109" s="2" t="s">
        <v>2487</v>
      </c>
      <c r="C109" s="2" t="s">
        <v>2488</v>
      </c>
      <c r="D109" s="5" t="s">
        <v>2490</v>
      </c>
      <c r="E109" s="4" t="s">
        <v>2491</v>
      </c>
      <c r="F109" s="6">
        <v>14271949</v>
      </c>
      <c r="G109" s="3">
        <v>14271949</v>
      </c>
      <c r="H109" s="7">
        <v>733004746321</v>
      </c>
      <c r="I109" s="8" t="s">
        <v>1712</v>
      </c>
      <c r="J109" s="4">
        <v>1</v>
      </c>
      <c r="K109" s="9">
        <v>6.99</v>
      </c>
      <c r="L109" s="9">
        <v>6.99</v>
      </c>
      <c r="M109" s="4" t="s">
        <v>3187</v>
      </c>
      <c r="N109" s="4" t="s">
        <v>2565</v>
      </c>
      <c r="O109" s="4" t="s">
        <v>2502</v>
      </c>
      <c r="P109" s="4" t="s">
        <v>2503</v>
      </c>
      <c r="Q109" s="4" t="s">
        <v>2504</v>
      </c>
      <c r="R109" s="4"/>
      <c r="S109" s="4"/>
      <c r="T109" s="4" t="str">
        <f>HYPERLINK("http://slimages.macys.com/is/image/MCY/19977361 ")</f>
        <v xml:space="preserve">http://slimages.macys.com/is/image/MCY/19977361 </v>
      </c>
    </row>
    <row r="110" spans="1:20" ht="15" customHeight="1" x14ac:dyDescent="0.25">
      <c r="A110" s="4" t="s">
        <v>2489</v>
      </c>
      <c r="B110" s="2" t="s">
        <v>2487</v>
      </c>
      <c r="C110" s="2" t="s">
        <v>2488</v>
      </c>
      <c r="D110" s="5" t="s">
        <v>2490</v>
      </c>
      <c r="E110" s="4" t="s">
        <v>2491</v>
      </c>
      <c r="F110" s="6">
        <v>14271949</v>
      </c>
      <c r="G110" s="3">
        <v>14271949</v>
      </c>
      <c r="H110" s="7">
        <v>762120085540</v>
      </c>
      <c r="I110" s="8" t="s">
        <v>1713</v>
      </c>
      <c r="J110" s="4">
        <v>2</v>
      </c>
      <c r="K110" s="9">
        <v>7.99</v>
      </c>
      <c r="L110" s="9">
        <v>15.98</v>
      </c>
      <c r="M110" s="4" t="s">
        <v>1714</v>
      </c>
      <c r="N110" s="4" t="s">
        <v>2567</v>
      </c>
      <c r="O110" s="4" t="s">
        <v>2653</v>
      </c>
      <c r="P110" s="4" t="s">
        <v>2602</v>
      </c>
      <c r="Q110" s="4" t="s">
        <v>2528</v>
      </c>
      <c r="R110" s="4"/>
      <c r="S110" s="4"/>
      <c r="T110" s="4" t="str">
        <f>HYPERLINK("http://slimages.macys.com/is/image/MCY/1092107 ")</f>
        <v xml:space="preserve">http://slimages.macys.com/is/image/MCY/1092107 </v>
      </c>
    </row>
    <row r="111" spans="1:20" ht="15" customHeight="1" x14ac:dyDescent="0.25">
      <c r="A111" s="4" t="s">
        <v>2489</v>
      </c>
      <c r="B111" s="2" t="s">
        <v>2487</v>
      </c>
      <c r="C111" s="2" t="s">
        <v>2488</v>
      </c>
      <c r="D111" s="5" t="s">
        <v>2490</v>
      </c>
      <c r="E111" s="4" t="s">
        <v>2491</v>
      </c>
      <c r="F111" s="6">
        <v>14271949</v>
      </c>
      <c r="G111" s="3">
        <v>14271949</v>
      </c>
      <c r="H111" s="7">
        <v>733004782725</v>
      </c>
      <c r="I111" s="8" t="s">
        <v>1715</v>
      </c>
      <c r="J111" s="4">
        <v>1</v>
      </c>
      <c r="K111" s="9">
        <v>7.99</v>
      </c>
      <c r="L111" s="9">
        <v>7.99</v>
      </c>
      <c r="M111" s="4" t="s">
        <v>1810</v>
      </c>
      <c r="N111" s="4" t="s">
        <v>2561</v>
      </c>
      <c r="O111" s="4">
        <v>6</v>
      </c>
      <c r="P111" s="4" t="s">
        <v>2602</v>
      </c>
      <c r="Q111" s="4" t="s">
        <v>2528</v>
      </c>
      <c r="R111" s="4"/>
      <c r="S111" s="4"/>
      <c r="T111" s="4" t="str">
        <f>HYPERLINK("http://slimages.macys.com/is/image/MCY/20450194 ")</f>
        <v xml:space="preserve">http://slimages.macys.com/is/image/MCY/20450194 </v>
      </c>
    </row>
    <row r="112" spans="1:20" ht="15" customHeight="1" x14ac:dyDescent="0.25">
      <c r="A112" s="4" t="s">
        <v>2489</v>
      </c>
      <c r="B112" s="2" t="s">
        <v>2487</v>
      </c>
      <c r="C112" s="2" t="s">
        <v>2488</v>
      </c>
      <c r="D112" s="5" t="s">
        <v>2490</v>
      </c>
      <c r="E112" s="4" t="s">
        <v>2491</v>
      </c>
      <c r="F112" s="6">
        <v>14271949</v>
      </c>
      <c r="G112" s="3">
        <v>14271949</v>
      </c>
      <c r="H112" s="7">
        <v>762120160827</v>
      </c>
      <c r="I112" s="8" t="s">
        <v>1716</v>
      </c>
      <c r="J112" s="4">
        <v>1</v>
      </c>
      <c r="K112" s="9">
        <v>7.99</v>
      </c>
      <c r="L112" s="9">
        <v>7.99</v>
      </c>
      <c r="M112" s="4" t="s">
        <v>2627</v>
      </c>
      <c r="N112" s="4" t="s">
        <v>2514</v>
      </c>
      <c r="O112" s="4">
        <v>5</v>
      </c>
      <c r="P112" s="4" t="s">
        <v>2602</v>
      </c>
      <c r="Q112" s="4" t="s">
        <v>2528</v>
      </c>
      <c r="R112" s="4"/>
      <c r="S112" s="4"/>
      <c r="T112" s="4" t="str">
        <f>HYPERLINK("http://slimages.macys.com/is/image/MCY/20819715 ")</f>
        <v xml:space="preserve">http://slimages.macys.com/is/image/MCY/20819715 </v>
      </c>
    </row>
    <row r="113" spans="1:20" ht="15" customHeight="1" x14ac:dyDescent="0.25">
      <c r="A113" s="4" t="s">
        <v>2489</v>
      </c>
      <c r="B113" s="2" t="s">
        <v>2487</v>
      </c>
      <c r="C113" s="2" t="s">
        <v>2488</v>
      </c>
      <c r="D113" s="5" t="s">
        <v>2490</v>
      </c>
      <c r="E113" s="4" t="s">
        <v>2491</v>
      </c>
      <c r="F113" s="6">
        <v>14271949</v>
      </c>
      <c r="G113" s="3">
        <v>14271949</v>
      </c>
      <c r="H113" s="7">
        <v>194257598226</v>
      </c>
      <c r="I113" s="8" t="s">
        <v>1717</v>
      </c>
      <c r="J113" s="4">
        <v>1</v>
      </c>
      <c r="K113" s="9">
        <v>16.989999999999998</v>
      </c>
      <c r="L113" s="9">
        <v>16.989999999999998</v>
      </c>
      <c r="M113" s="4" t="s">
        <v>2693</v>
      </c>
      <c r="N113" s="4" t="s">
        <v>2762</v>
      </c>
      <c r="O113" s="4" t="s">
        <v>2498</v>
      </c>
      <c r="P113" s="4" t="s">
        <v>2499</v>
      </c>
      <c r="Q113" s="4" t="s">
        <v>2500</v>
      </c>
      <c r="R113" s="4"/>
      <c r="S113" s="4"/>
      <c r="T113" s="4" t="str">
        <f>HYPERLINK("http://slimages.macys.com/is/image/MCY/19513585 ")</f>
        <v xml:space="preserve">http://slimages.macys.com/is/image/MCY/19513585 </v>
      </c>
    </row>
    <row r="114" spans="1:20" ht="15" customHeight="1" x14ac:dyDescent="0.25">
      <c r="A114" s="4" t="s">
        <v>2489</v>
      </c>
      <c r="B114" s="2" t="s">
        <v>2487</v>
      </c>
      <c r="C114" s="2" t="s">
        <v>2488</v>
      </c>
      <c r="D114" s="5" t="s">
        <v>2490</v>
      </c>
      <c r="E114" s="4" t="s">
        <v>2491</v>
      </c>
      <c r="F114" s="6">
        <v>14271949</v>
      </c>
      <c r="G114" s="3">
        <v>14271949</v>
      </c>
      <c r="H114" s="7">
        <v>733003926779</v>
      </c>
      <c r="I114" s="8" t="s">
        <v>3132</v>
      </c>
      <c r="J114" s="4">
        <v>3</v>
      </c>
      <c r="K114" s="9">
        <v>5.99</v>
      </c>
      <c r="L114" s="9">
        <v>17.97</v>
      </c>
      <c r="M114" s="4" t="s">
        <v>1632</v>
      </c>
      <c r="N114" s="4" t="s">
        <v>2600</v>
      </c>
      <c r="O114" s="4" t="s">
        <v>2559</v>
      </c>
      <c r="P114" s="4" t="s">
        <v>2503</v>
      </c>
      <c r="Q114" s="4" t="s">
        <v>2504</v>
      </c>
      <c r="R114" s="4"/>
      <c r="S114" s="4"/>
      <c r="T114" s="4" t="str">
        <f>HYPERLINK("http://slimages.macys.com/is/image/MCY/903950 ")</f>
        <v xml:space="preserve">http://slimages.macys.com/is/image/MCY/903950 </v>
      </c>
    </row>
    <row r="115" spans="1:20" ht="15" customHeight="1" x14ac:dyDescent="0.25">
      <c r="A115" s="4" t="s">
        <v>2489</v>
      </c>
      <c r="B115" s="2" t="s">
        <v>2487</v>
      </c>
      <c r="C115" s="2" t="s">
        <v>2488</v>
      </c>
      <c r="D115" s="5" t="s">
        <v>2490</v>
      </c>
      <c r="E115" s="4" t="s">
        <v>2491</v>
      </c>
      <c r="F115" s="6">
        <v>14271949</v>
      </c>
      <c r="G115" s="3">
        <v>14271949</v>
      </c>
      <c r="H115" s="7">
        <v>733004553226</v>
      </c>
      <c r="I115" s="8" t="s">
        <v>1141</v>
      </c>
      <c r="J115" s="4">
        <v>1</v>
      </c>
      <c r="K115" s="9">
        <v>21.99</v>
      </c>
      <c r="L115" s="9">
        <v>21.99</v>
      </c>
      <c r="M115" s="4" t="s">
        <v>2228</v>
      </c>
      <c r="N115" s="4" t="s">
        <v>2497</v>
      </c>
      <c r="O115" s="4" t="s">
        <v>2555</v>
      </c>
      <c r="P115" s="4" t="s">
        <v>2515</v>
      </c>
      <c r="Q115" s="4" t="s">
        <v>2672</v>
      </c>
      <c r="R115" s="4"/>
      <c r="S115" s="4"/>
      <c r="T115" s="4" t="str">
        <f>HYPERLINK("http://slimages.macys.com/is/image/MCY/20531655 ")</f>
        <v xml:space="preserve">http://slimages.macys.com/is/image/MCY/20531655 </v>
      </c>
    </row>
    <row r="116" spans="1:20" ht="15" customHeight="1" x14ac:dyDescent="0.25">
      <c r="A116" s="4" t="s">
        <v>2489</v>
      </c>
      <c r="B116" s="2" t="s">
        <v>2487</v>
      </c>
      <c r="C116" s="2" t="s">
        <v>2488</v>
      </c>
      <c r="D116" s="5" t="s">
        <v>2490</v>
      </c>
      <c r="E116" s="4" t="s">
        <v>2491</v>
      </c>
      <c r="F116" s="6">
        <v>14271949</v>
      </c>
      <c r="G116" s="3">
        <v>14271949</v>
      </c>
      <c r="H116" s="7">
        <v>840144218691</v>
      </c>
      <c r="I116" s="8" t="s">
        <v>1718</v>
      </c>
      <c r="J116" s="4">
        <v>1</v>
      </c>
      <c r="K116" s="9">
        <v>15.99</v>
      </c>
      <c r="L116" s="9">
        <v>15.99</v>
      </c>
      <c r="M116" s="4" t="s">
        <v>1719</v>
      </c>
      <c r="N116" s="4"/>
      <c r="O116" s="4" t="s">
        <v>2669</v>
      </c>
      <c r="P116" s="4" t="s">
        <v>2539</v>
      </c>
      <c r="Q116" s="4" t="s">
        <v>2670</v>
      </c>
      <c r="R116" s="4"/>
      <c r="S116" s="4"/>
      <c r="T116" s="4" t="str">
        <f>HYPERLINK("http://slimages.macys.com/is/image/MCY/20138255 ")</f>
        <v xml:space="preserve">http://slimages.macys.com/is/image/MCY/20138255 </v>
      </c>
    </row>
    <row r="117" spans="1:20" ht="15" customHeight="1" x14ac:dyDescent="0.25">
      <c r="A117" s="4" t="s">
        <v>2489</v>
      </c>
      <c r="B117" s="2" t="s">
        <v>2487</v>
      </c>
      <c r="C117" s="2" t="s">
        <v>2488</v>
      </c>
      <c r="D117" s="5" t="s">
        <v>2490</v>
      </c>
      <c r="E117" s="4" t="s">
        <v>2491</v>
      </c>
      <c r="F117" s="6">
        <v>14271949</v>
      </c>
      <c r="G117" s="3">
        <v>14271949</v>
      </c>
      <c r="H117" s="7">
        <v>194753854031</v>
      </c>
      <c r="I117" s="8" t="s">
        <v>1720</v>
      </c>
      <c r="J117" s="4">
        <v>1</v>
      </c>
      <c r="K117" s="9">
        <v>24.99</v>
      </c>
      <c r="L117" s="9">
        <v>24.99</v>
      </c>
      <c r="M117" s="4" t="s">
        <v>1721</v>
      </c>
      <c r="N117" s="4" t="s">
        <v>2544</v>
      </c>
      <c r="O117" s="4" t="s">
        <v>2493</v>
      </c>
      <c r="P117" s="4" t="s">
        <v>2562</v>
      </c>
      <c r="Q117" s="4" t="s">
        <v>2715</v>
      </c>
      <c r="R117" s="4"/>
      <c r="S117" s="4"/>
      <c r="T117" s="4" t="str">
        <f>HYPERLINK("http://slimages.macys.com/is/image/MCY/19678956 ")</f>
        <v xml:space="preserve">http://slimages.macys.com/is/image/MCY/19678956 </v>
      </c>
    </row>
    <row r="118" spans="1:20" ht="15" customHeight="1" x14ac:dyDescent="0.25">
      <c r="A118" s="4" t="s">
        <v>2489</v>
      </c>
      <c r="B118" s="2" t="s">
        <v>2487</v>
      </c>
      <c r="C118" s="2" t="s">
        <v>2488</v>
      </c>
      <c r="D118" s="5" t="s">
        <v>2490</v>
      </c>
      <c r="E118" s="4" t="s">
        <v>2491</v>
      </c>
      <c r="F118" s="6">
        <v>14271949</v>
      </c>
      <c r="G118" s="3">
        <v>14271949</v>
      </c>
      <c r="H118" s="7">
        <v>194870430859</v>
      </c>
      <c r="I118" s="8" t="s">
        <v>3065</v>
      </c>
      <c r="J118" s="4">
        <v>1</v>
      </c>
      <c r="K118" s="9">
        <v>37.99</v>
      </c>
      <c r="L118" s="9">
        <v>37.99</v>
      </c>
      <c r="M118" s="4" t="s">
        <v>3066</v>
      </c>
      <c r="N118" s="4" t="s">
        <v>2501</v>
      </c>
      <c r="O118" s="4" t="s">
        <v>2498</v>
      </c>
      <c r="P118" s="4" t="s">
        <v>2619</v>
      </c>
      <c r="Q118" s="4" t="s">
        <v>2681</v>
      </c>
      <c r="R118" s="4"/>
      <c r="S118" s="4"/>
      <c r="T118" s="4" t="str">
        <f>HYPERLINK("http://slimages.macys.com/is/image/MCY/19730161 ")</f>
        <v xml:space="preserve">http://slimages.macys.com/is/image/MCY/19730161 </v>
      </c>
    </row>
    <row r="119" spans="1:20" ht="15" customHeight="1" x14ac:dyDescent="0.25">
      <c r="A119" s="4" t="s">
        <v>2489</v>
      </c>
      <c r="B119" s="2" t="s">
        <v>2487</v>
      </c>
      <c r="C119" s="2" t="s">
        <v>2488</v>
      </c>
      <c r="D119" s="5" t="s">
        <v>2490</v>
      </c>
      <c r="E119" s="4" t="s">
        <v>2491</v>
      </c>
      <c r="F119" s="6">
        <v>14271949</v>
      </c>
      <c r="G119" s="3">
        <v>14271949</v>
      </c>
      <c r="H119" s="7">
        <v>810071954863</v>
      </c>
      <c r="I119" s="8" t="s">
        <v>1722</v>
      </c>
      <c r="J119" s="4">
        <v>1</v>
      </c>
      <c r="K119" s="9">
        <v>30.99</v>
      </c>
      <c r="L119" s="9">
        <v>30.99</v>
      </c>
      <c r="M119" s="4" t="s">
        <v>1723</v>
      </c>
      <c r="N119" s="4"/>
      <c r="O119" s="4">
        <v>10</v>
      </c>
      <c r="P119" s="4" t="s">
        <v>2536</v>
      </c>
      <c r="Q119" s="4" t="s">
        <v>3454</v>
      </c>
      <c r="R119" s="4"/>
      <c r="S119" s="4"/>
      <c r="T119" s="4"/>
    </row>
    <row r="120" spans="1:20" ht="15" customHeight="1" x14ac:dyDescent="0.25">
      <c r="A120" s="4" t="s">
        <v>2489</v>
      </c>
      <c r="B120" s="2" t="s">
        <v>2487</v>
      </c>
      <c r="C120" s="2" t="s">
        <v>2488</v>
      </c>
      <c r="D120" s="5" t="s">
        <v>2490</v>
      </c>
      <c r="E120" s="4" t="s">
        <v>2491</v>
      </c>
      <c r="F120" s="6">
        <v>14271949</v>
      </c>
      <c r="G120" s="3">
        <v>14271949</v>
      </c>
      <c r="H120" s="7">
        <v>194135472105</v>
      </c>
      <c r="I120" s="8" t="s">
        <v>1724</v>
      </c>
      <c r="J120" s="4">
        <v>1</v>
      </c>
      <c r="K120" s="9">
        <v>7.96</v>
      </c>
      <c r="L120" s="9">
        <v>7.96</v>
      </c>
      <c r="M120" s="4" t="s">
        <v>2443</v>
      </c>
      <c r="N120" s="4" t="s">
        <v>2523</v>
      </c>
      <c r="O120" s="4" t="s">
        <v>2559</v>
      </c>
      <c r="P120" s="4" t="s">
        <v>2494</v>
      </c>
      <c r="Q120" s="4" t="s">
        <v>2495</v>
      </c>
      <c r="R120" s="4"/>
      <c r="S120" s="4"/>
      <c r="T120" s="4" t="str">
        <f>HYPERLINK("http://slimages.macys.com/is/image/MCY/19836864 ")</f>
        <v xml:space="preserve">http://slimages.macys.com/is/image/MCY/19836864 </v>
      </c>
    </row>
    <row r="121" spans="1:20" ht="15" customHeight="1" x14ac:dyDescent="0.25">
      <c r="A121" s="4" t="s">
        <v>2489</v>
      </c>
      <c r="B121" s="2" t="s">
        <v>2487</v>
      </c>
      <c r="C121" s="2" t="s">
        <v>2488</v>
      </c>
      <c r="D121" s="5" t="s">
        <v>2490</v>
      </c>
      <c r="E121" s="4" t="s">
        <v>2491</v>
      </c>
      <c r="F121" s="6">
        <v>14271949</v>
      </c>
      <c r="G121" s="3">
        <v>14271949</v>
      </c>
      <c r="H121" s="7">
        <v>733004738357</v>
      </c>
      <c r="I121" s="8" t="s">
        <v>1903</v>
      </c>
      <c r="J121" s="4">
        <v>1</v>
      </c>
      <c r="K121" s="9">
        <v>6.99</v>
      </c>
      <c r="L121" s="9">
        <v>6.99</v>
      </c>
      <c r="M121" s="4" t="s">
        <v>1901</v>
      </c>
      <c r="N121" s="4" t="s">
        <v>2530</v>
      </c>
      <c r="O121" s="4" t="s">
        <v>2559</v>
      </c>
      <c r="P121" s="4" t="s">
        <v>2503</v>
      </c>
      <c r="Q121" s="4" t="s">
        <v>2504</v>
      </c>
      <c r="R121" s="4"/>
      <c r="S121" s="4"/>
      <c r="T121" s="4" t="str">
        <f>HYPERLINK("http://slimages.macys.com/is/image/MCY/19977409 ")</f>
        <v xml:space="preserve">http://slimages.macys.com/is/image/MCY/19977409 </v>
      </c>
    </row>
    <row r="122" spans="1:20" ht="15" customHeight="1" x14ac:dyDescent="0.25">
      <c r="A122" s="4" t="s">
        <v>2489</v>
      </c>
      <c r="B122" s="2" t="s">
        <v>2487</v>
      </c>
      <c r="C122" s="2" t="s">
        <v>2488</v>
      </c>
      <c r="D122" s="5" t="s">
        <v>2490</v>
      </c>
      <c r="E122" s="4" t="s">
        <v>2491</v>
      </c>
      <c r="F122" s="6">
        <v>14271949</v>
      </c>
      <c r="G122" s="3">
        <v>14271949</v>
      </c>
      <c r="H122" s="7">
        <v>733004884535</v>
      </c>
      <c r="I122" s="8" t="s">
        <v>2646</v>
      </c>
      <c r="J122" s="4">
        <v>1</v>
      </c>
      <c r="K122" s="9">
        <v>8.99</v>
      </c>
      <c r="L122" s="9">
        <v>8.99</v>
      </c>
      <c r="M122" s="4" t="s">
        <v>2647</v>
      </c>
      <c r="N122" s="4" t="s">
        <v>2501</v>
      </c>
      <c r="O122" s="4" t="s">
        <v>2601</v>
      </c>
      <c r="P122" s="4" t="s">
        <v>2503</v>
      </c>
      <c r="Q122" s="4" t="s">
        <v>2504</v>
      </c>
      <c r="R122" s="4"/>
      <c r="S122" s="4"/>
      <c r="T122" s="4" t="str">
        <f>HYPERLINK("http://slimages.macys.com/is/image/MCY/20142471 ")</f>
        <v xml:space="preserve">http://slimages.macys.com/is/image/MCY/20142471 </v>
      </c>
    </row>
    <row r="123" spans="1:20" ht="15" customHeight="1" x14ac:dyDescent="0.25">
      <c r="A123" s="4" t="s">
        <v>2489</v>
      </c>
      <c r="B123" s="2" t="s">
        <v>2487</v>
      </c>
      <c r="C123" s="2" t="s">
        <v>2488</v>
      </c>
      <c r="D123" s="5" t="s">
        <v>2490</v>
      </c>
      <c r="E123" s="4" t="s">
        <v>2491</v>
      </c>
      <c r="F123" s="6">
        <v>14271949</v>
      </c>
      <c r="G123" s="3">
        <v>14271949</v>
      </c>
      <c r="H123" s="7">
        <v>733004722707</v>
      </c>
      <c r="I123" s="8" t="s">
        <v>3192</v>
      </c>
      <c r="J123" s="4">
        <v>1</v>
      </c>
      <c r="K123" s="9">
        <v>25.99</v>
      </c>
      <c r="L123" s="9">
        <v>25.99</v>
      </c>
      <c r="M123" s="4" t="s">
        <v>3193</v>
      </c>
      <c r="N123" s="4" t="s">
        <v>2530</v>
      </c>
      <c r="O123" s="4" t="s">
        <v>2601</v>
      </c>
      <c r="P123" s="4" t="s">
        <v>2503</v>
      </c>
      <c r="Q123" s="4" t="s">
        <v>2504</v>
      </c>
      <c r="R123" s="4"/>
      <c r="S123" s="4"/>
      <c r="T123" s="4" t="str">
        <f>HYPERLINK("http://slimages.macys.com/is/image/MCY/19977902 ")</f>
        <v xml:space="preserve">http://slimages.macys.com/is/image/MCY/19977902 </v>
      </c>
    </row>
    <row r="124" spans="1:20" ht="15" customHeight="1" x14ac:dyDescent="0.25">
      <c r="A124" s="4" t="s">
        <v>2489</v>
      </c>
      <c r="B124" s="2" t="s">
        <v>2487</v>
      </c>
      <c r="C124" s="2" t="s">
        <v>2488</v>
      </c>
      <c r="D124" s="5" t="s">
        <v>2490</v>
      </c>
      <c r="E124" s="4" t="s">
        <v>2491</v>
      </c>
      <c r="F124" s="6">
        <v>14271949</v>
      </c>
      <c r="G124" s="3">
        <v>14271949</v>
      </c>
      <c r="H124" s="7">
        <v>733004883699</v>
      </c>
      <c r="I124" s="8" t="s">
        <v>2423</v>
      </c>
      <c r="J124" s="4">
        <v>1</v>
      </c>
      <c r="K124" s="9">
        <v>6.99</v>
      </c>
      <c r="L124" s="9">
        <v>6.99</v>
      </c>
      <c r="M124" s="4" t="s">
        <v>2826</v>
      </c>
      <c r="N124" s="4" t="s">
        <v>2505</v>
      </c>
      <c r="O124" s="4" t="s">
        <v>2607</v>
      </c>
      <c r="P124" s="4" t="s">
        <v>2503</v>
      </c>
      <c r="Q124" s="4" t="s">
        <v>2504</v>
      </c>
      <c r="R124" s="4"/>
      <c r="S124" s="4"/>
      <c r="T124" s="4" t="str">
        <f>HYPERLINK("http://slimages.macys.com/is/image/MCY/1070793 ")</f>
        <v xml:space="preserve">http://slimages.macys.com/is/image/MCY/1070793 </v>
      </c>
    </row>
    <row r="125" spans="1:20" ht="15" customHeight="1" x14ac:dyDescent="0.25">
      <c r="A125" s="4" t="s">
        <v>2489</v>
      </c>
      <c r="B125" s="2" t="s">
        <v>2487</v>
      </c>
      <c r="C125" s="2" t="s">
        <v>2488</v>
      </c>
      <c r="D125" s="5" t="s">
        <v>2490</v>
      </c>
      <c r="E125" s="4" t="s">
        <v>2491</v>
      </c>
      <c r="F125" s="6">
        <v>14271949</v>
      </c>
      <c r="G125" s="3">
        <v>14271949</v>
      </c>
      <c r="H125" s="7">
        <v>733004883514</v>
      </c>
      <c r="I125" s="8" t="s">
        <v>1725</v>
      </c>
      <c r="J125" s="4">
        <v>1</v>
      </c>
      <c r="K125" s="9">
        <v>6.99</v>
      </c>
      <c r="L125" s="9">
        <v>6.99</v>
      </c>
      <c r="M125" s="4" t="s">
        <v>2240</v>
      </c>
      <c r="N125" s="4" t="s">
        <v>2530</v>
      </c>
      <c r="O125" s="4" t="s">
        <v>2607</v>
      </c>
      <c r="P125" s="4" t="s">
        <v>2503</v>
      </c>
      <c r="Q125" s="4" t="s">
        <v>2504</v>
      </c>
      <c r="R125" s="4"/>
      <c r="S125" s="4"/>
      <c r="T125" s="4" t="str">
        <f>HYPERLINK("http://slimages.macys.com/is/image/MCY/1062099 ")</f>
        <v xml:space="preserve">http://slimages.macys.com/is/image/MCY/1062099 </v>
      </c>
    </row>
    <row r="126" spans="1:20" ht="15" customHeight="1" x14ac:dyDescent="0.25">
      <c r="A126" s="4" t="s">
        <v>2489</v>
      </c>
      <c r="B126" s="2" t="s">
        <v>2487</v>
      </c>
      <c r="C126" s="2" t="s">
        <v>2488</v>
      </c>
      <c r="D126" s="5" t="s">
        <v>2490</v>
      </c>
      <c r="E126" s="4" t="s">
        <v>2491</v>
      </c>
      <c r="F126" s="6">
        <v>14271949</v>
      </c>
      <c r="G126" s="3">
        <v>14271949</v>
      </c>
      <c r="H126" s="7">
        <v>733004295263</v>
      </c>
      <c r="I126" s="8" t="s">
        <v>1726</v>
      </c>
      <c r="J126" s="4">
        <v>2</v>
      </c>
      <c r="K126" s="9">
        <v>12.99</v>
      </c>
      <c r="L126" s="9">
        <v>25.98</v>
      </c>
      <c r="M126" s="4" t="s">
        <v>3435</v>
      </c>
      <c r="N126" s="4" t="s">
        <v>2600</v>
      </c>
      <c r="O126" s="4" t="s">
        <v>2601</v>
      </c>
      <c r="P126" s="4" t="s">
        <v>2503</v>
      </c>
      <c r="Q126" s="4" t="s">
        <v>2504</v>
      </c>
      <c r="R126" s="4"/>
      <c r="S126" s="4"/>
      <c r="T126" s="4" t="str">
        <f>HYPERLINK("http://slimages.macys.com/is/image/MCY/19217922 ")</f>
        <v xml:space="preserve">http://slimages.macys.com/is/image/MCY/19217922 </v>
      </c>
    </row>
    <row r="127" spans="1:20" ht="15" customHeight="1" x14ac:dyDescent="0.25">
      <c r="A127" s="4" t="s">
        <v>2489</v>
      </c>
      <c r="B127" s="2" t="s">
        <v>2487</v>
      </c>
      <c r="C127" s="2" t="s">
        <v>2488</v>
      </c>
      <c r="D127" s="5" t="s">
        <v>2490</v>
      </c>
      <c r="E127" s="4" t="s">
        <v>2491</v>
      </c>
      <c r="F127" s="6">
        <v>14271949</v>
      </c>
      <c r="G127" s="3">
        <v>14271949</v>
      </c>
      <c r="H127" s="7">
        <v>733004952821</v>
      </c>
      <c r="I127" s="8" t="s">
        <v>3455</v>
      </c>
      <c r="J127" s="4">
        <v>1</v>
      </c>
      <c r="K127" s="9">
        <v>13.99</v>
      </c>
      <c r="L127" s="9">
        <v>13.99</v>
      </c>
      <c r="M127" s="4" t="s">
        <v>3456</v>
      </c>
      <c r="N127" s="4" t="s">
        <v>2505</v>
      </c>
      <c r="O127" s="4" t="s">
        <v>2566</v>
      </c>
      <c r="P127" s="4" t="s">
        <v>2503</v>
      </c>
      <c r="Q127" s="4" t="s">
        <v>2504</v>
      </c>
      <c r="R127" s="4"/>
      <c r="S127" s="4"/>
      <c r="T127" s="4" t="str">
        <f>HYPERLINK("http://slimages.macys.com/is/image/MCY/20142515 ")</f>
        <v xml:space="preserve">http://slimages.macys.com/is/image/MCY/20142515 </v>
      </c>
    </row>
    <row r="128" spans="1:20" ht="15" customHeight="1" x14ac:dyDescent="0.25">
      <c r="A128" s="4" t="s">
        <v>2489</v>
      </c>
      <c r="B128" s="2" t="s">
        <v>2487</v>
      </c>
      <c r="C128" s="2" t="s">
        <v>2488</v>
      </c>
      <c r="D128" s="5" t="s">
        <v>2490</v>
      </c>
      <c r="E128" s="4" t="s">
        <v>2491</v>
      </c>
      <c r="F128" s="6">
        <v>14271949</v>
      </c>
      <c r="G128" s="3">
        <v>14271949</v>
      </c>
      <c r="H128" s="7">
        <v>733004952531</v>
      </c>
      <c r="I128" s="8" t="s">
        <v>1727</v>
      </c>
      <c r="J128" s="4">
        <v>1</v>
      </c>
      <c r="K128" s="9">
        <v>13.99</v>
      </c>
      <c r="L128" s="9">
        <v>13.99</v>
      </c>
      <c r="M128" s="4" t="s">
        <v>2043</v>
      </c>
      <c r="N128" s="4" t="s">
        <v>2501</v>
      </c>
      <c r="O128" s="4" t="s">
        <v>2601</v>
      </c>
      <c r="P128" s="4" t="s">
        <v>2503</v>
      </c>
      <c r="Q128" s="4" t="s">
        <v>2504</v>
      </c>
      <c r="R128" s="4"/>
      <c r="S128" s="4"/>
      <c r="T128" s="4" t="str">
        <f>HYPERLINK("http://slimages.macys.com/is/image/MCY/20142394 ")</f>
        <v xml:space="preserve">http://slimages.macys.com/is/image/MCY/20142394 </v>
      </c>
    </row>
    <row r="129" spans="1:20" ht="15" customHeight="1" x14ac:dyDescent="0.25">
      <c r="A129" s="4" t="s">
        <v>2489</v>
      </c>
      <c r="B129" s="2" t="s">
        <v>2487</v>
      </c>
      <c r="C129" s="2" t="s">
        <v>2488</v>
      </c>
      <c r="D129" s="5" t="s">
        <v>2490</v>
      </c>
      <c r="E129" s="4" t="s">
        <v>2491</v>
      </c>
      <c r="F129" s="6">
        <v>14271949</v>
      </c>
      <c r="G129" s="3">
        <v>14271949</v>
      </c>
      <c r="H129" s="7">
        <v>762120087247</v>
      </c>
      <c r="I129" s="8" t="s">
        <v>3044</v>
      </c>
      <c r="J129" s="4">
        <v>2</v>
      </c>
      <c r="K129" s="9">
        <v>11.99</v>
      </c>
      <c r="L129" s="9">
        <v>23.98</v>
      </c>
      <c r="M129" s="4" t="s">
        <v>3045</v>
      </c>
      <c r="N129" s="4" t="s">
        <v>2567</v>
      </c>
      <c r="O129" s="4">
        <v>5</v>
      </c>
      <c r="P129" s="4" t="s">
        <v>2602</v>
      </c>
      <c r="Q129" s="4" t="s">
        <v>2528</v>
      </c>
      <c r="R129" s="4"/>
      <c r="S129" s="4"/>
      <c r="T129" s="4" t="str">
        <f>HYPERLINK("http://slimages.macys.com/is/image/MCY/20691887 ")</f>
        <v xml:space="preserve">http://slimages.macys.com/is/image/MCY/20691887 </v>
      </c>
    </row>
    <row r="130" spans="1:20" ht="15" customHeight="1" x14ac:dyDescent="0.25">
      <c r="A130" s="4" t="s">
        <v>2489</v>
      </c>
      <c r="B130" s="2" t="s">
        <v>2487</v>
      </c>
      <c r="C130" s="2" t="s">
        <v>2488</v>
      </c>
      <c r="D130" s="5" t="s">
        <v>2490</v>
      </c>
      <c r="E130" s="4" t="s">
        <v>2491</v>
      </c>
      <c r="F130" s="6">
        <v>14271949</v>
      </c>
      <c r="G130" s="3">
        <v>14271949</v>
      </c>
      <c r="H130" s="7">
        <v>194257500366</v>
      </c>
      <c r="I130" s="8" t="s">
        <v>1728</v>
      </c>
      <c r="J130" s="4">
        <v>1</v>
      </c>
      <c r="K130" s="9">
        <v>12.99</v>
      </c>
      <c r="L130" s="9">
        <v>12.99</v>
      </c>
      <c r="M130" s="4" t="s">
        <v>3402</v>
      </c>
      <c r="N130" s="4" t="s">
        <v>2514</v>
      </c>
      <c r="O130" s="4" t="s">
        <v>2519</v>
      </c>
      <c r="P130" s="4" t="s">
        <v>2619</v>
      </c>
      <c r="Q130" s="4" t="s">
        <v>2500</v>
      </c>
      <c r="R130" s="4"/>
      <c r="S130" s="4"/>
      <c r="T130" s="4" t="str">
        <f>HYPERLINK("http://slimages.macys.com/is/image/MCY/19575710 ")</f>
        <v xml:space="preserve">http://slimages.macys.com/is/image/MCY/19575710 </v>
      </c>
    </row>
    <row r="131" spans="1:20" ht="15" customHeight="1" x14ac:dyDescent="0.25">
      <c r="A131" s="4" t="s">
        <v>2489</v>
      </c>
      <c r="B131" s="2" t="s">
        <v>2487</v>
      </c>
      <c r="C131" s="2" t="s">
        <v>2488</v>
      </c>
      <c r="D131" s="5" t="s">
        <v>2490</v>
      </c>
      <c r="E131" s="4" t="s">
        <v>2491</v>
      </c>
      <c r="F131" s="6">
        <v>14271949</v>
      </c>
      <c r="G131" s="3">
        <v>14271949</v>
      </c>
      <c r="H131" s="7">
        <v>733002918126</v>
      </c>
      <c r="I131" s="8" t="s">
        <v>2914</v>
      </c>
      <c r="J131" s="4">
        <v>1</v>
      </c>
      <c r="K131" s="9">
        <v>14.99</v>
      </c>
      <c r="L131" s="9">
        <v>14.99</v>
      </c>
      <c r="M131" s="4" t="s">
        <v>2915</v>
      </c>
      <c r="N131" s="4" t="s">
        <v>2497</v>
      </c>
      <c r="O131" s="4" t="s">
        <v>2519</v>
      </c>
      <c r="P131" s="4" t="s">
        <v>2515</v>
      </c>
      <c r="Q131" s="4" t="s">
        <v>2672</v>
      </c>
      <c r="R131" s="4"/>
      <c r="S131" s="4"/>
      <c r="T131" s="4" t="str">
        <f>HYPERLINK("http://slimages.macys.com/is/image/MCY/18926632 ")</f>
        <v xml:space="preserve">http://slimages.macys.com/is/image/MCY/18926632 </v>
      </c>
    </row>
    <row r="132" spans="1:20" ht="15" customHeight="1" x14ac:dyDescent="0.25">
      <c r="A132" s="4" t="s">
        <v>2489</v>
      </c>
      <c r="B132" s="2" t="s">
        <v>2487</v>
      </c>
      <c r="C132" s="2" t="s">
        <v>2488</v>
      </c>
      <c r="D132" s="5" t="s">
        <v>2490</v>
      </c>
      <c r="E132" s="4" t="s">
        <v>2491</v>
      </c>
      <c r="F132" s="6">
        <v>14271949</v>
      </c>
      <c r="G132" s="3">
        <v>14271949</v>
      </c>
      <c r="H132" s="7">
        <v>194870452721</v>
      </c>
      <c r="I132" s="8" t="s">
        <v>2921</v>
      </c>
      <c r="J132" s="4">
        <v>1</v>
      </c>
      <c r="K132" s="9">
        <v>26.99</v>
      </c>
      <c r="L132" s="9">
        <v>26.99</v>
      </c>
      <c r="M132" s="4" t="s">
        <v>2829</v>
      </c>
      <c r="N132" s="4" t="s">
        <v>2497</v>
      </c>
      <c r="O132" s="4" t="s">
        <v>2671</v>
      </c>
      <c r="P132" s="4" t="s">
        <v>2619</v>
      </c>
      <c r="Q132" s="4" t="s">
        <v>2681</v>
      </c>
      <c r="R132" s="4"/>
      <c r="S132" s="4"/>
      <c r="T132" s="4" t="str">
        <f>HYPERLINK("http://slimages.macys.com/is/image/MCY/19463894 ")</f>
        <v xml:space="preserve">http://slimages.macys.com/is/image/MCY/19463894 </v>
      </c>
    </row>
    <row r="133" spans="1:20" ht="15" customHeight="1" x14ac:dyDescent="0.25">
      <c r="A133" s="4" t="s">
        <v>2489</v>
      </c>
      <c r="B133" s="2" t="s">
        <v>2487</v>
      </c>
      <c r="C133" s="2" t="s">
        <v>2488</v>
      </c>
      <c r="D133" s="5" t="s">
        <v>2490</v>
      </c>
      <c r="E133" s="4" t="s">
        <v>2491</v>
      </c>
      <c r="F133" s="6">
        <v>14271949</v>
      </c>
      <c r="G133" s="3">
        <v>14271949</v>
      </c>
      <c r="H133" s="7">
        <v>733004591525</v>
      </c>
      <c r="I133" s="8" t="s">
        <v>2970</v>
      </c>
      <c r="J133" s="4">
        <v>1</v>
      </c>
      <c r="K133" s="9">
        <v>26.99</v>
      </c>
      <c r="L133" s="9">
        <v>26.99</v>
      </c>
      <c r="M133" s="4">
        <v>10013096900</v>
      </c>
      <c r="N133" s="4" t="s">
        <v>2505</v>
      </c>
      <c r="O133" s="4" t="s">
        <v>2566</v>
      </c>
      <c r="P133" s="4" t="s">
        <v>2503</v>
      </c>
      <c r="Q133" s="4" t="s">
        <v>2504</v>
      </c>
      <c r="R133" s="4"/>
      <c r="S133" s="4"/>
      <c r="T133" s="4" t="str">
        <f>HYPERLINK("http://slimages.macys.com/is/image/MCY/998172 ")</f>
        <v xml:space="preserve">http://slimages.macys.com/is/image/MCY/998172 </v>
      </c>
    </row>
    <row r="134" spans="1:20" ht="15" customHeight="1" x14ac:dyDescent="0.25">
      <c r="A134" s="4" t="s">
        <v>2489</v>
      </c>
      <c r="B134" s="2" t="s">
        <v>2487</v>
      </c>
      <c r="C134" s="2" t="s">
        <v>2488</v>
      </c>
      <c r="D134" s="5" t="s">
        <v>2490</v>
      </c>
      <c r="E134" s="4" t="s">
        <v>2491</v>
      </c>
      <c r="F134" s="6">
        <v>14271949</v>
      </c>
      <c r="G134" s="3">
        <v>14271949</v>
      </c>
      <c r="H134" s="7">
        <v>194257504524</v>
      </c>
      <c r="I134" s="8" t="s">
        <v>1729</v>
      </c>
      <c r="J134" s="4">
        <v>1</v>
      </c>
      <c r="K134" s="9">
        <v>8.99</v>
      </c>
      <c r="L134" s="9">
        <v>8.99</v>
      </c>
      <c r="M134" s="4" t="s">
        <v>1730</v>
      </c>
      <c r="N134" s="4" t="s">
        <v>2501</v>
      </c>
      <c r="O134" s="4" t="s">
        <v>2498</v>
      </c>
      <c r="P134" s="4" t="s">
        <v>2619</v>
      </c>
      <c r="Q134" s="4" t="s">
        <v>2500</v>
      </c>
      <c r="R134" s="4"/>
      <c r="S134" s="4"/>
      <c r="T134" s="4" t="str">
        <f>HYPERLINK("http://slimages.macys.com/is/image/MCY/19945187 ")</f>
        <v xml:space="preserve">http://slimages.macys.com/is/image/MCY/19945187 </v>
      </c>
    </row>
    <row r="135" spans="1:20" ht="15" customHeight="1" x14ac:dyDescent="0.25">
      <c r="A135" s="4" t="s">
        <v>2489</v>
      </c>
      <c r="B135" s="2" t="s">
        <v>2487</v>
      </c>
      <c r="C135" s="2" t="s">
        <v>2488</v>
      </c>
      <c r="D135" s="5" t="s">
        <v>2490</v>
      </c>
      <c r="E135" s="4" t="s">
        <v>2491</v>
      </c>
      <c r="F135" s="6">
        <v>14271949</v>
      </c>
      <c r="G135" s="3">
        <v>14271949</v>
      </c>
      <c r="H135" s="7">
        <v>762120160865</v>
      </c>
      <c r="I135" s="8" t="s">
        <v>2626</v>
      </c>
      <c r="J135" s="4">
        <v>1</v>
      </c>
      <c r="K135" s="9">
        <v>7.99</v>
      </c>
      <c r="L135" s="9">
        <v>7.99</v>
      </c>
      <c r="M135" s="4" t="s">
        <v>2627</v>
      </c>
      <c r="N135" s="4" t="s">
        <v>2514</v>
      </c>
      <c r="O135" s="4" t="s">
        <v>2628</v>
      </c>
      <c r="P135" s="4" t="s">
        <v>2602</v>
      </c>
      <c r="Q135" s="4" t="s">
        <v>2528</v>
      </c>
      <c r="R135" s="4"/>
      <c r="S135" s="4"/>
      <c r="T135" s="4" t="str">
        <f>HYPERLINK("http://slimages.macys.com/is/image/MCY/20819718 ")</f>
        <v xml:space="preserve">http://slimages.macys.com/is/image/MCY/20819718 </v>
      </c>
    </row>
    <row r="136" spans="1:20" ht="15" customHeight="1" x14ac:dyDescent="0.25">
      <c r="A136" s="4" t="s">
        <v>2489</v>
      </c>
      <c r="B136" s="2" t="s">
        <v>2487</v>
      </c>
      <c r="C136" s="2" t="s">
        <v>2488</v>
      </c>
      <c r="D136" s="5" t="s">
        <v>2490</v>
      </c>
      <c r="E136" s="4" t="s">
        <v>2491</v>
      </c>
      <c r="F136" s="6">
        <v>14271949</v>
      </c>
      <c r="G136" s="3">
        <v>14271949</v>
      </c>
      <c r="H136" s="7">
        <v>762120127400</v>
      </c>
      <c r="I136" s="8" t="s">
        <v>2709</v>
      </c>
      <c r="J136" s="4">
        <v>1</v>
      </c>
      <c r="K136" s="9">
        <v>6.99</v>
      </c>
      <c r="L136" s="9">
        <v>6.99</v>
      </c>
      <c r="M136" s="4" t="s">
        <v>2710</v>
      </c>
      <c r="N136" s="4" t="s">
        <v>2497</v>
      </c>
      <c r="O136" s="4" t="s">
        <v>2502</v>
      </c>
      <c r="P136" s="4" t="s">
        <v>2503</v>
      </c>
      <c r="Q136" s="4" t="s">
        <v>2504</v>
      </c>
      <c r="R136" s="4"/>
      <c r="S136" s="4"/>
      <c r="T136" s="4" t="str">
        <f>HYPERLINK("http://slimages.macys.com/is/image/MCY/20385748 ")</f>
        <v xml:space="preserve">http://slimages.macys.com/is/image/MCY/20385748 </v>
      </c>
    </row>
    <row r="137" spans="1:20" ht="15" customHeight="1" x14ac:dyDescent="0.25">
      <c r="A137" s="4" t="s">
        <v>2489</v>
      </c>
      <c r="B137" s="2" t="s">
        <v>2487</v>
      </c>
      <c r="C137" s="2" t="s">
        <v>2488</v>
      </c>
      <c r="D137" s="5" t="s">
        <v>2490</v>
      </c>
      <c r="E137" s="4" t="s">
        <v>2491</v>
      </c>
      <c r="F137" s="6">
        <v>14271949</v>
      </c>
      <c r="G137" s="3">
        <v>14271949</v>
      </c>
      <c r="H137" s="7">
        <v>733004952715</v>
      </c>
      <c r="I137" s="8" t="s">
        <v>3304</v>
      </c>
      <c r="J137" s="4">
        <v>1</v>
      </c>
      <c r="K137" s="9">
        <v>13.99</v>
      </c>
      <c r="L137" s="9">
        <v>13.99</v>
      </c>
      <c r="M137" s="4" t="s">
        <v>2625</v>
      </c>
      <c r="N137" s="4" t="s">
        <v>2531</v>
      </c>
      <c r="O137" s="4"/>
      <c r="P137" s="4" t="s">
        <v>2503</v>
      </c>
      <c r="Q137" s="4" t="s">
        <v>2504</v>
      </c>
      <c r="R137" s="4"/>
      <c r="S137" s="4"/>
      <c r="T137" s="4" t="str">
        <f>HYPERLINK("http://slimages.macys.com/is/image/MCY/1041665 ")</f>
        <v xml:space="preserve">http://slimages.macys.com/is/image/MCY/1041665 </v>
      </c>
    </row>
    <row r="138" spans="1:20" ht="15" customHeight="1" x14ac:dyDescent="0.25">
      <c r="A138" s="4" t="s">
        <v>2489</v>
      </c>
      <c r="B138" s="2" t="s">
        <v>2487</v>
      </c>
      <c r="C138" s="2" t="s">
        <v>2488</v>
      </c>
      <c r="D138" s="5" t="s">
        <v>2490</v>
      </c>
      <c r="E138" s="4" t="s">
        <v>2491</v>
      </c>
      <c r="F138" s="6">
        <v>14271949</v>
      </c>
      <c r="G138" s="3">
        <v>14271949</v>
      </c>
      <c r="H138" s="7">
        <v>194135453111</v>
      </c>
      <c r="I138" s="8" t="s">
        <v>1731</v>
      </c>
      <c r="J138" s="4">
        <v>1</v>
      </c>
      <c r="K138" s="9">
        <v>22.41</v>
      </c>
      <c r="L138" s="9">
        <v>22.41</v>
      </c>
      <c r="M138" s="4" t="s">
        <v>3281</v>
      </c>
      <c r="N138" s="4" t="s">
        <v>2523</v>
      </c>
      <c r="O138" s="4" t="s">
        <v>2597</v>
      </c>
      <c r="P138" s="4" t="s">
        <v>2494</v>
      </c>
      <c r="Q138" s="4" t="s">
        <v>2495</v>
      </c>
      <c r="R138" s="4"/>
      <c r="S138" s="4"/>
      <c r="T138" s="4" t="str">
        <f>HYPERLINK("http://slimages.macys.com/is/image/MCY/19836556 ")</f>
        <v xml:space="preserve">http://slimages.macys.com/is/image/MCY/19836556 </v>
      </c>
    </row>
    <row r="139" spans="1:20" ht="15" customHeight="1" x14ac:dyDescent="0.25">
      <c r="A139" s="4" t="s">
        <v>2489</v>
      </c>
      <c r="B139" s="2" t="s">
        <v>2487</v>
      </c>
      <c r="C139" s="2" t="s">
        <v>2488</v>
      </c>
      <c r="D139" s="5" t="s">
        <v>2490</v>
      </c>
      <c r="E139" s="4" t="s">
        <v>2491</v>
      </c>
      <c r="F139" s="6">
        <v>14271949</v>
      </c>
      <c r="G139" s="3">
        <v>14271949</v>
      </c>
      <c r="H139" s="7">
        <v>195883642260</v>
      </c>
      <c r="I139" s="8" t="s">
        <v>1773</v>
      </c>
      <c r="J139" s="4">
        <v>1</v>
      </c>
      <c r="K139" s="9">
        <v>7.99</v>
      </c>
      <c r="L139" s="9">
        <v>7.99</v>
      </c>
      <c r="M139" s="4" t="s">
        <v>1774</v>
      </c>
      <c r="N139" s="4" t="s">
        <v>2526</v>
      </c>
      <c r="O139" s="4">
        <v>3</v>
      </c>
      <c r="P139" s="4" t="s">
        <v>2506</v>
      </c>
      <c r="Q139" s="4" t="s">
        <v>2527</v>
      </c>
      <c r="R139" s="4"/>
      <c r="S139" s="4"/>
      <c r="T139" s="4" t="str">
        <f>HYPERLINK("http://slimages.macys.com/is/image/MCY/20726220 ")</f>
        <v xml:space="preserve">http://slimages.macys.com/is/image/MCY/20726220 </v>
      </c>
    </row>
    <row r="140" spans="1:20" ht="15" customHeight="1" x14ac:dyDescent="0.25">
      <c r="A140" s="4" t="s">
        <v>2489</v>
      </c>
      <c r="B140" s="2" t="s">
        <v>2487</v>
      </c>
      <c r="C140" s="2" t="s">
        <v>2488</v>
      </c>
      <c r="D140" s="5" t="s">
        <v>2490</v>
      </c>
      <c r="E140" s="4" t="s">
        <v>2491</v>
      </c>
      <c r="F140" s="6">
        <v>14271949</v>
      </c>
      <c r="G140" s="3">
        <v>14271949</v>
      </c>
      <c r="H140" s="7">
        <v>762120087261</v>
      </c>
      <c r="I140" s="8" t="s">
        <v>3151</v>
      </c>
      <c r="J140" s="4">
        <v>3</v>
      </c>
      <c r="K140" s="9">
        <v>11.99</v>
      </c>
      <c r="L140" s="9">
        <v>35.97</v>
      </c>
      <c r="M140" s="4" t="s">
        <v>3045</v>
      </c>
      <c r="N140" s="4" t="s">
        <v>2567</v>
      </c>
      <c r="O140" s="4" t="s">
        <v>2628</v>
      </c>
      <c r="P140" s="4" t="s">
        <v>2602</v>
      </c>
      <c r="Q140" s="4" t="s">
        <v>2528</v>
      </c>
      <c r="R140" s="4"/>
      <c r="S140" s="4"/>
      <c r="T140" s="4" t="str">
        <f>HYPERLINK("http://slimages.macys.com/is/image/MCY/20691889 ")</f>
        <v xml:space="preserve">http://slimages.macys.com/is/image/MCY/20691889 </v>
      </c>
    </row>
    <row r="141" spans="1:20" ht="15" customHeight="1" x14ac:dyDescent="0.25">
      <c r="A141" s="4" t="s">
        <v>2489</v>
      </c>
      <c r="B141" s="2" t="s">
        <v>2487</v>
      </c>
      <c r="C141" s="2" t="s">
        <v>2488</v>
      </c>
      <c r="D141" s="5" t="s">
        <v>2490</v>
      </c>
      <c r="E141" s="4" t="s">
        <v>2491</v>
      </c>
      <c r="F141" s="6">
        <v>14271949</v>
      </c>
      <c r="G141" s="3">
        <v>14271949</v>
      </c>
      <c r="H141" s="7">
        <v>195883817675</v>
      </c>
      <c r="I141" s="8" t="s">
        <v>1587</v>
      </c>
      <c r="J141" s="4">
        <v>1</v>
      </c>
      <c r="K141" s="9">
        <v>18.989999999999998</v>
      </c>
      <c r="L141" s="9">
        <v>18.989999999999998</v>
      </c>
      <c r="M141" s="4" t="s">
        <v>1588</v>
      </c>
      <c r="N141" s="4" t="s">
        <v>2514</v>
      </c>
      <c r="O141" s="4">
        <v>5</v>
      </c>
      <c r="P141" s="4" t="s">
        <v>2536</v>
      </c>
      <c r="Q141" s="4" t="s">
        <v>2944</v>
      </c>
      <c r="R141" s="4"/>
      <c r="S141" s="4"/>
      <c r="T141" s="4"/>
    </row>
    <row r="142" spans="1:20" ht="15" customHeight="1" x14ac:dyDescent="0.25">
      <c r="A142" s="4" t="s">
        <v>2489</v>
      </c>
      <c r="B142" s="2" t="s">
        <v>2487</v>
      </c>
      <c r="C142" s="2" t="s">
        <v>2488</v>
      </c>
      <c r="D142" s="5" t="s">
        <v>2490</v>
      </c>
      <c r="E142" s="4" t="s">
        <v>2491</v>
      </c>
      <c r="F142" s="6">
        <v>14271949</v>
      </c>
      <c r="G142" s="3">
        <v>14271949</v>
      </c>
      <c r="H142" s="7">
        <v>762120213974</v>
      </c>
      <c r="I142" s="8" t="s">
        <v>1987</v>
      </c>
      <c r="J142" s="4">
        <v>1</v>
      </c>
      <c r="K142" s="9">
        <v>21.99</v>
      </c>
      <c r="L142" s="9">
        <v>21.99</v>
      </c>
      <c r="M142" s="4" t="s">
        <v>1857</v>
      </c>
      <c r="N142" s="4" t="s">
        <v>2565</v>
      </c>
      <c r="O142" s="4" t="s">
        <v>2498</v>
      </c>
      <c r="P142" s="4" t="s">
        <v>2515</v>
      </c>
      <c r="Q142" s="4" t="s">
        <v>2672</v>
      </c>
      <c r="R142" s="4"/>
      <c r="S142" s="4"/>
      <c r="T142" s="4" t="str">
        <f>HYPERLINK("http://slimages.macys.com/is/image/MCY/20411695 ")</f>
        <v xml:space="preserve">http://slimages.macys.com/is/image/MCY/20411695 </v>
      </c>
    </row>
    <row r="143" spans="1:20" ht="15" customHeight="1" x14ac:dyDescent="0.25">
      <c r="A143" s="4" t="s">
        <v>2489</v>
      </c>
      <c r="B143" s="2" t="s">
        <v>2487</v>
      </c>
      <c r="C143" s="2" t="s">
        <v>2488</v>
      </c>
      <c r="D143" s="5" t="s">
        <v>2490</v>
      </c>
      <c r="E143" s="4" t="s">
        <v>2491</v>
      </c>
      <c r="F143" s="6">
        <v>14271949</v>
      </c>
      <c r="G143" s="3">
        <v>14271949</v>
      </c>
      <c r="H143" s="7">
        <v>733004765018</v>
      </c>
      <c r="I143" s="8" t="s">
        <v>1815</v>
      </c>
      <c r="J143" s="4">
        <v>1</v>
      </c>
      <c r="K143" s="9">
        <v>21.99</v>
      </c>
      <c r="L143" s="9">
        <v>21.99</v>
      </c>
      <c r="M143" s="4" t="s">
        <v>3428</v>
      </c>
      <c r="N143" s="4" t="s">
        <v>2598</v>
      </c>
      <c r="O143" s="4" t="s">
        <v>2555</v>
      </c>
      <c r="P143" s="4" t="s">
        <v>2515</v>
      </c>
      <c r="Q143" s="4" t="s">
        <v>2672</v>
      </c>
      <c r="R143" s="4"/>
      <c r="S143" s="4"/>
      <c r="T143" s="4" t="str">
        <f>HYPERLINK("http://slimages.macys.com/is/image/MCY/20530565 ")</f>
        <v xml:space="preserve">http://slimages.macys.com/is/image/MCY/20530565 </v>
      </c>
    </row>
    <row r="144" spans="1:20" ht="15" customHeight="1" x14ac:dyDescent="0.25">
      <c r="A144" s="4" t="s">
        <v>2489</v>
      </c>
      <c r="B144" s="2" t="s">
        <v>2487</v>
      </c>
      <c r="C144" s="2" t="s">
        <v>2488</v>
      </c>
      <c r="D144" s="5" t="s">
        <v>2490</v>
      </c>
      <c r="E144" s="4" t="s">
        <v>2491</v>
      </c>
      <c r="F144" s="6">
        <v>14271949</v>
      </c>
      <c r="G144" s="3">
        <v>14271949</v>
      </c>
      <c r="H144" s="7">
        <v>194133590979</v>
      </c>
      <c r="I144" s="8" t="s">
        <v>1732</v>
      </c>
      <c r="J144" s="4">
        <v>1</v>
      </c>
      <c r="K144" s="9">
        <v>30.72</v>
      </c>
      <c r="L144" s="9">
        <v>30.72</v>
      </c>
      <c r="M144" s="4" t="s">
        <v>1733</v>
      </c>
      <c r="N144" s="4" t="s">
        <v>2567</v>
      </c>
      <c r="O144" s="4" t="s">
        <v>2502</v>
      </c>
      <c r="P144" s="4" t="s">
        <v>2494</v>
      </c>
      <c r="Q144" s="4" t="s">
        <v>2495</v>
      </c>
      <c r="R144" s="4"/>
      <c r="S144" s="4"/>
      <c r="T144" s="4" t="str">
        <f>HYPERLINK("http://slimages.macys.com/is/image/MCY/19972827 ")</f>
        <v xml:space="preserve">http://slimages.macys.com/is/image/MCY/19972827 </v>
      </c>
    </row>
    <row r="145" spans="1:20" ht="15" customHeight="1" x14ac:dyDescent="0.25">
      <c r="A145" s="4" t="s">
        <v>2489</v>
      </c>
      <c r="B145" s="2" t="s">
        <v>2487</v>
      </c>
      <c r="C145" s="2" t="s">
        <v>2488</v>
      </c>
      <c r="D145" s="5" t="s">
        <v>2490</v>
      </c>
      <c r="E145" s="4" t="s">
        <v>2491</v>
      </c>
      <c r="F145" s="6">
        <v>14271949</v>
      </c>
      <c r="G145" s="3">
        <v>14271949</v>
      </c>
      <c r="H145" s="7">
        <v>196027072523</v>
      </c>
      <c r="I145" s="8" t="s">
        <v>1881</v>
      </c>
      <c r="J145" s="4">
        <v>1</v>
      </c>
      <c r="K145" s="9">
        <v>19.989999999999998</v>
      </c>
      <c r="L145" s="9">
        <v>19.989999999999998</v>
      </c>
      <c r="M145" s="4" t="s">
        <v>1882</v>
      </c>
      <c r="N145" s="4" t="s">
        <v>2544</v>
      </c>
      <c r="O145" s="4" t="s">
        <v>2559</v>
      </c>
      <c r="P145" s="4" t="s">
        <v>2740</v>
      </c>
      <c r="Q145" s="4" t="s">
        <v>3119</v>
      </c>
      <c r="R145" s="4"/>
      <c r="S145" s="4"/>
      <c r="T145" s="4" t="str">
        <f>HYPERLINK("http://slimages.macys.com/is/image/MCY/20853842 ")</f>
        <v xml:space="preserve">http://slimages.macys.com/is/image/MCY/20853842 </v>
      </c>
    </row>
    <row r="146" spans="1:20" ht="15" customHeight="1" x14ac:dyDescent="0.25">
      <c r="A146" s="4" t="s">
        <v>2489</v>
      </c>
      <c r="B146" s="2" t="s">
        <v>2487</v>
      </c>
      <c r="C146" s="2" t="s">
        <v>2488</v>
      </c>
      <c r="D146" s="5" t="s">
        <v>2490</v>
      </c>
      <c r="E146" s="4" t="s">
        <v>2491</v>
      </c>
      <c r="F146" s="6">
        <v>14271949</v>
      </c>
      <c r="G146" s="3">
        <v>14271949</v>
      </c>
      <c r="H146" s="7">
        <v>762120216241</v>
      </c>
      <c r="I146" s="8" t="s">
        <v>1993</v>
      </c>
      <c r="J146" s="4">
        <v>1</v>
      </c>
      <c r="K146" s="9">
        <v>21.99</v>
      </c>
      <c r="L146" s="9">
        <v>21.99</v>
      </c>
      <c r="M146" s="4" t="s">
        <v>2994</v>
      </c>
      <c r="N146" s="4" t="s">
        <v>2565</v>
      </c>
      <c r="O146" s="4" t="s">
        <v>2519</v>
      </c>
      <c r="P146" s="4" t="s">
        <v>2515</v>
      </c>
      <c r="Q146" s="4" t="s">
        <v>2672</v>
      </c>
      <c r="R146" s="4"/>
      <c r="S146" s="4"/>
      <c r="T146" s="4" t="str">
        <f>HYPERLINK("http://slimages.macys.com/is/image/MCY/20411699 ")</f>
        <v xml:space="preserve">http://slimages.macys.com/is/image/MCY/20411699 </v>
      </c>
    </row>
    <row r="147" spans="1:20" ht="15" customHeight="1" x14ac:dyDescent="0.25">
      <c r="A147" s="4" t="s">
        <v>2489</v>
      </c>
      <c r="B147" s="2" t="s">
        <v>2487</v>
      </c>
      <c r="C147" s="2" t="s">
        <v>2488</v>
      </c>
      <c r="D147" s="5" t="s">
        <v>2490</v>
      </c>
      <c r="E147" s="4" t="s">
        <v>2491</v>
      </c>
      <c r="F147" s="6">
        <v>14271949</v>
      </c>
      <c r="G147" s="3">
        <v>14271949</v>
      </c>
      <c r="H147" s="7">
        <v>733004722967</v>
      </c>
      <c r="I147" s="8" t="s">
        <v>1734</v>
      </c>
      <c r="J147" s="4">
        <v>1</v>
      </c>
      <c r="K147" s="9">
        <v>19.989999999999998</v>
      </c>
      <c r="L147" s="9">
        <v>19.989999999999998</v>
      </c>
      <c r="M147" s="4" t="s">
        <v>1844</v>
      </c>
      <c r="N147" s="4" t="s">
        <v>2565</v>
      </c>
      <c r="O147" s="4" t="s">
        <v>2493</v>
      </c>
      <c r="P147" s="4" t="s">
        <v>2503</v>
      </c>
      <c r="Q147" s="4" t="s">
        <v>2504</v>
      </c>
      <c r="R147" s="4"/>
      <c r="S147" s="4"/>
      <c r="T147" s="4" t="str">
        <f>HYPERLINK("http://slimages.macys.com/is/image/MCY/1000469 ")</f>
        <v xml:space="preserve">http://slimages.macys.com/is/image/MCY/1000469 </v>
      </c>
    </row>
    <row r="148" spans="1:20" ht="15" customHeight="1" x14ac:dyDescent="0.25">
      <c r="A148" s="4" t="s">
        <v>2489</v>
      </c>
      <c r="B148" s="2" t="s">
        <v>2487</v>
      </c>
      <c r="C148" s="2" t="s">
        <v>2488</v>
      </c>
      <c r="D148" s="5" t="s">
        <v>2490</v>
      </c>
      <c r="E148" s="4" t="s">
        <v>2491</v>
      </c>
      <c r="F148" s="6">
        <v>14271949</v>
      </c>
      <c r="G148" s="3">
        <v>14271949</v>
      </c>
      <c r="H148" s="7">
        <v>733004883606</v>
      </c>
      <c r="I148" s="8" t="s">
        <v>1735</v>
      </c>
      <c r="J148" s="4">
        <v>1</v>
      </c>
      <c r="K148" s="9">
        <v>6.99</v>
      </c>
      <c r="L148" s="9">
        <v>6.99</v>
      </c>
      <c r="M148" s="4" t="s">
        <v>2240</v>
      </c>
      <c r="N148" s="4" t="s">
        <v>2530</v>
      </c>
      <c r="O148" s="4" t="s">
        <v>2559</v>
      </c>
      <c r="P148" s="4" t="s">
        <v>2503</v>
      </c>
      <c r="Q148" s="4" t="s">
        <v>2504</v>
      </c>
      <c r="R148" s="4"/>
      <c r="S148" s="4"/>
      <c r="T148" s="4" t="str">
        <f>HYPERLINK("http://slimages.macys.com/is/image/MCY/20142585 ")</f>
        <v xml:space="preserve">http://slimages.macys.com/is/image/MCY/20142585 </v>
      </c>
    </row>
    <row r="149" spans="1:20" ht="15" customHeight="1" x14ac:dyDescent="0.25">
      <c r="A149" s="4" t="s">
        <v>2489</v>
      </c>
      <c r="B149" s="2" t="s">
        <v>2487</v>
      </c>
      <c r="C149" s="2" t="s">
        <v>2488</v>
      </c>
      <c r="D149" s="5" t="s">
        <v>2490</v>
      </c>
      <c r="E149" s="4" t="s">
        <v>2491</v>
      </c>
      <c r="F149" s="6">
        <v>14271949</v>
      </c>
      <c r="G149" s="3">
        <v>14271949</v>
      </c>
      <c r="H149" s="7">
        <v>733004919305</v>
      </c>
      <c r="I149" s="8" t="s">
        <v>3061</v>
      </c>
      <c r="J149" s="4">
        <v>1</v>
      </c>
      <c r="K149" s="9">
        <v>6.99</v>
      </c>
      <c r="L149" s="9">
        <v>6.99</v>
      </c>
      <c r="M149" s="4" t="s">
        <v>2785</v>
      </c>
      <c r="N149" s="4" t="s">
        <v>2505</v>
      </c>
      <c r="O149" s="4" t="s">
        <v>2559</v>
      </c>
      <c r="P149" s="4" t="s">
        <v>2503</v>
      </c>
      <c r="Q149" s="4" t="s">
        <v>2504</v>
      </c>
      <c r="R149" s="4"/>
      <c r="S149" s="4"/>
      <c r="T149" s="4" t="str">
        <f>HYPERLINK("http://slimages.macys.com/is/image/MCY/19977732 ")</f>
        <v xml:space="preserve">http://slimages.macys.com/is/image/MCY/19977732 </v>
      </c>
    </row>
    <row r="150" spans="1:20" ht="15" customHeight="1" x14ac:dyDescent="0.25">
      <c r="A150" s="4" t="s">
        <v>2489</v>
      </c>
      <c r="B150" s="2" t="s">
        <v>2487</v>
      </c>
      <c r="C150" s="2" t="s">
        <v>2488</v>
      </c>
      <c r="D150" s="5" t="s">
        <v>2490</v>
      </c>
      <c r="E150" s="4" t="s">
        <v>2491</v>
      </c>
      <c r="F150" s="6">
        <v>14271949</v>
      </c>
      <c r="G150" s="3">
        <v>14271949</v>
      </c>
      <c r="H150" s="7">
        <v>733003924294</v>
      </c>
      <c r="I150" s="8" t="s">
        <v>2934</v>
      </c>
      <c r="J150" s="4">
        <v>1</v>
      </c>
      <c r="K150" s="9">
        <v>6.99</v>
      </c>
      <c r="L150" s="9">
        <v>6.99</v>
      </c>
      <c r="M150" s="4" t="s">
        <v>2786</v>
      </c>
      <c r="N150" s="4" t="s">
        <v>2638</v>
      </c>
      <c r="O150" s="4" t="s">
        <v>2601</v>
      </c>
      <c r="P150" s="4" t="s">
        <v>2503</v>
      </c>
      <c r="Q150" s="4" t="s">
        <v>2504</v>
      </c>
      <c r="R150" s="4"/>
      <c r="S150" s="4"/>
      <c r="T150" s="4" t="str">
        <f>HYPERLINK("http://slimages.macys.com/is/image/MCY/19507928 ")</f>
        <v xml:space="preserve">http://slimages.macys.com/is/image/MCY/19507928 </v>
      </c>
    </row>
    <row r="151" spans="1:20" ht="15" customHeight="1" x14ac:dyDescent="0.25">
      <c r="A151" s="4" t="s">
        <v>2489</v>
      </c>
      <c r="B151" s="2" t="s">
        <v>2487</v>
      </c>
      <c r="C151" s="2" t="s">
        <v>2488</v>
      </c>
      <c r="D151" s="5" t="s">
        <v>2490</v>
      </c>
      <c r="E151" s="4" t="s">
        <v>2491</v>
      </c>
      <c r="F151" s="6">
        <v>14271949</v>
      </c>
      <c r="G151" s="3">
        <v>14271949</v>
      </c>
      <c r="H151" s="7">
        <v>194870507520</v>
      </c>
      <c r="I151" s="8" t="s">
        <v>1736</v>
      </c>
      <c r="J151" s="4">
        <v>7</v>
      </c>
      <c r="K151" s="9">
        <v>24.99</v>
      </c>
      <c r="L151" s="9">
        <v>174.93</v>
      </c>
      <c r="M151" s="4" t="s">
        <v>2966</v>
      </c>
      <c r="N151" s="4" t="s">
        <v>2728</v>
      </c>
      <c r="O151" s="4" t="s">
        <v>2555</v>
      </c>
      <c r="P151" s="4" t="s">
        <v>2499</v>
      </c>
      <c r="Q151" s="4" t="s">
        <v>2694</v>
      </c>
      <c r="R151" s="4"/>
      <c r="S151" s="4"/>
      <c r="T151" s="4" t="str">
        <f>HYPERLINK("http://slimages.macys.com/is/image/MCY/19458564 ")</f>
        <v xml:space="preserve">http://slimages.macys.com/is/image/MCY/19458564 </v>
      </c>
    </row>
    <row r="152" spans="1:20" ht="15" customHeight="1" x14ac:dyDescent="0.25">
      <c r="A152" s="4" t="s">
        <v>2489</v>
      </c>
      <c r="B152" s="2" t="s">
        <v>2487</v>
      </c>
      <c r="C152" s="2" t="s">
        <v>2488</v>
      </c>
      <c r="D152" s="5" t="s">
        <v>2490</v>
      </c>
      <c r="E152" s="4" t="s">
        <v>2491</v>
      </c>
      <c r="F152" s="6">
        <v>14271949</v>
      </c>
      <c r="G152" s="3">
        <v>14271949</v>
      </c>
      <c r="H152" s="7">
        <v>733004919831</v>
      </c>
      <c r="I152" s="8" t="s">
        <v>1737</v>
      </c>
      <c r="J152" s="4">
        <v>1</v>
      </c>
      <c r="K152" s="9">
        <v>6.99</v>
      </c>
      <c r="L152" s="9">
        <v>6.99</v>
      </c>
      <c r="M152" s="4" t="s">
        <v>3349</v>
      </c>
      <c r="N152" s="4" t="s">
        <v>2530</v>
      </c>
      <c r="O152" s="4" t="s">
        <v>2559</v>
      </c>
      <c r="P152" s="4" t="s">
        <v>2503</v>
      </c>
      <c r="Q152" s="4" t="s">
        <v>2504</v>
      </c>
      <c r="R152" s="4"/>
      <c r="S152" s="4"/>
      <c r="T152" s="4" t="str">
        <f>HYPERLINK("http://slimages.macys.com/is/image/MCY/19977735 ")</f>
        <v xml:space="preserve">http://slimages.macys.com/is/image/MCY/19977735 </v>
      </c>
    </row>
    <row r="153" spans="1:20" ht="15" customHeight="1" x14ac:dyDescent="0.25">
      <c r="A153" s="4" t="s">
        <v>2489</v>
      </c>
      <c r="B153" s="2" t="s">
        <v>2487</v>
      </c>
      <c r="C153" s="2" t="s">
        <v>2488</v>
      </c>
      <c r="D153" s="5" t="s">
        <v>2490</v>
      </c>
      <c r="E153" s="4" t="s">
        <v>2491</v>
      </c>
      <c r="F153" s="6">
        <v>14271949</v>
      </c>
      <c r="G153" s="3">
        <v>14271949</v>
      </c>
      <c r="H153" s="7">
        <v>762120160889</v>
      </c>
      <c r="I153" s="8" t="s">
        <v>1738</v>
      </c>
      <c r="J153" s="4">
        <v>1</v>
      </c>
      <c r="K153" s="9">
        <v>7.99</v>
      </c>
      <c r="L153" s="9">
        <v>7.99</v>
      </c>
      <c r="M153" s="4" t="s">
        <v>3425</v>
      </c>
      <c r="N153" s="4" t="s">
        <v>2731</v>
      </c>
      <c r="O153" s="4">
        <v>5</v>
      </c>
      <c r="P153" s="4" t="s">
        <v>2602</v>
      </c>
      <c r="Q153" s="4" t="s">
        <v>2528</v>
      </c>
      <c r="R153" s="4"/>
      <c r="S153" s="4"/>
      <c r="T153" s="4" t="str">
        <f>HYPERLINK("http://slimages.macys.com/is/image/MCY/20819722 ")</f>
        <v xml:space="preserve">http://slimages.macys.com/is/image/MCY/20819722 </v>
      </c>
    </row>
    <row r="154" spans="1:20" ht="15" customHeight="1" x14ac:dyDescent="0.25">
      <c r="A154" s="4" t="s">
        <v>2489</v>
      </c>
      <c r="B154" s="2" t="s">
        <v>2487</v>
      </c>
      <c r="C154" s="2" t="s">
        <v>2488</v>
      </c>
      <c r="D154" s="5" t="s">
        <v>2490</v>
      </c>
      <c r="E154" s="4" t="s">
        <v>2491</v>
      </c>
      <c r="F154" s="6">
        <v>14271949</v>
      </c>
      <c r="G154" s="3">
        <v>14271949</v>
      </c>
      <c r="H154" s="7">
        <v>733004744648</v>
      </c>
      <c r="I154" s="8" t="s">
        <v>1739</v>
      </c>
      <c r="J154" s="4">
        <v>2</v>
      </c>
      <c r="K154" s="9">
        <v>7.99</v>
      </c>
      <c r="L154" s="9">
        <v>15.98</v>
      </c>
      <c r="M154" s="4" t="s">
        <v>2035</v>
      </c>
      <c r="N154" s="4" t="s">
        <v>2531</v>
      </c>
      <c r="O154" s="4" t="s">
        <v>2628</v>
      </c>
      <c r="P154" s="4" t="s">
        <v>2503</v>
      </c>
      <c r="Q154" s="4" t="s">
        <v>2504</v>
      </c>
      <c r="R154" s="4"/>
      <c r="S154" s="4"/>
      <c r="T154" s="4" t="str">
        <f>HYPERLINK("http://slimages.macys.com/is/image/MCY/20466473 ")</f>
        <v xml:space="preserve">http://slimages.macys.com/is/image/MCY/20466473 </v>
      </c>
    </row>
    <row r="155" spans="1:20" ht="15" customHeight="1" x14ac:dyDescent="0.25">
      <c r="A155" s="4" t="s">
        <v>2489</v>
      </c>
      <c r="B155" s="2" t="s">
        <v>2487</v>
      </c>
      <c r="C155" s="2" t="s">
        <v>2488</v>
      </c>
      <c r="D155" s="5" t="s">
        <v>2490</v>
      </c>
      <c r="E155" s="4" t="s">
        <v>2491</v>
      </c>
      <c r="F155" s="6">
        <v>14271949</v>
      </c>
      <c r="G155" s="3">
        <v>14271949</v>
      </c>
      <c r="H155" s="7">
        <v>733004744631</v>
      </c>
      <c r="I155" s="8" t="s">
        <v>1740</v>
      </c>
      <c r="J155" s="4">
        <v>2</v>
      </c>
      <c r="K155" s="9">
        <v>7.99</v>
      </c>
      <c r="L155" s="9">
        <v>15.98</v>
      </c>
      <c r="M155" s="4" t="s">
        <v>2035</v>
      </c>
      <c r="N155" s="4" t="s">
        <v>2531</v>
      </c>
      <c r="O155" s="4" t="s">
        <v>2629</v>
      </c>
      <c r="P155" s="4" t="s">
        <v>2503</v>
      </c>
      <c r="Q155" s="4" t="s">
        <v>2504</v>
      </c>
      <c r="R155" s="4"/>
      <c r="S155" s="4"/>
      <c r="T155" s="4" t="str">
        <f>HYPERLINK("http://slimages.macys.com/is/image/MCY/20466473 ")</f>
        <v xml:space="preserve">http://slimages.macys.com/is/image/MCY/20466473 </v>
      </c>
    </row>
    <row r="156" spans="1:20" ht="15" customHeight="1" x14ac:dyDescent="0.25">
      <c r="A156" s="4" t="s">
        <v>2489</v>
      </c>
      <c r="B156" s="2" t="s">
        <v>2487</v>
      </c>
      <c r="C156" s="2" t="s">
        <v>2488</v>
      </c>
      <c r="D156" s="5" t="s">
        <v>2490</v>
      </c>
      <c r="E156" s="4" t="s">
        <v>2491</v>
      </c>
      <c r="F156" s="6">
        <v>14271949</v>
      </c>
      <c r="G156" s="3">
        <v>14271949</v>
      </c>
      <c r="H156" s="7">
        <v>733004883484</v>
      </c>
      <c r="I156" s="8" t="s">
        <v>1970</v>
      </c>
      <c r="J156" s="4">
        <v>1</v>
      </c>
      <c r="K156" s="9">
        <v>6.99</v>
      </c>
      <c r="L156" s="9">
        <v>6.99</v>
      </c>
      <c r="M156" s="4" t="s">
        <v>1971</v>
      </c>
      <c r="N156" s="4" t="s">
        <v>2501</v>
      </c>
      <c r="O156" s="4" t="s">
        <v>2601</v>
      </c>
      <c r="P156" s="4" t="s">
        <v>2503</v>
      </c>
      <c r="Q156" s="4" t="s">
        <v>2504</v>
      </c>
      <c r="R156" s="4"/>
      <c r="S156" s="4"/>
      <c r="T156" s="4" t="str">
        <f>HYPERLINK("http://slimages.macys.com/is/image/MCY/1062099 ")</f>
        <v xml:space="preserve">http://slimages.macys.com/is/image/MCY/1062099 </v>
      </c>
    </row>
    <row r="157" spans="1:20" ht="15" customHeight="1" x14ac:dyDescent="0.25">
      <c r="A157" s="4" t="s">
        <v>2489</v>
      </c>
      <c r="B157" s="2" t="s">
        <v>2487</v>
      </c>
      <c r="C157" s="2" t="s">
        <v>2488</v>
      </c>
      <c r="D157" s="5" t="s">
        <v>2490</v>
      </c>
      <c r="E157" s="4" t="s">
        <v>2491</v>
      </c>
      <c r="F157" s="6">
        <v>14271949</v>
      </c>
      <c r="G157" s="3">
        <v>14271949</v>
      </c>
      <c r="H157" s="7">
        <v>762120160933</v>
      </c>
      <c r="I157" s="8" t="s">
        <v>1741</v>
      </c>
      <c r="J157" s="4">
        <v>2</v>
      </c>
      <c r="K157" s="9">
        <v>7.99</v>
      </c>
      <c r="L157" s="9">
        <v>15.98</v>
      </c>
      <c r="M157" s="4" t="s">
        <v>3425</v>
      </c>
      <c r="N157" s="4" t="s">
        <v>2731</v>
      </c>
      <c r="O157" s="4" t="s">
        <v>2653</v>
      </c>
      <c r="P157" s="4" t="s">
        <v>2602</v>
      </c>
      <c r="Q157" s="4" t="s">
        <v>2528</v>
      </c>
      <c r="R157" s="4"/>
      <c r="S157" s="4"/>
      <c r="T157" s="4" t="str">
        <f>HYPERLINK("http://slimages.macys.com/is/image/MCY/20819722 ")</f>
        <v xml:space="preserve">http://slimages.macys.com/is/image/MCY/20819722 </v>
      </c>
    </row>
    <row r="158" spans="1:20" ht="15" customHeight="1" x14ac:dyDescent="0.25">
      <c r="A158" s="4" t="s">
        <v>2489</v>
      </c>
      <c r="B158" s="2" t="s">
        <v>2487</v>
      </c>
      <c r="C158" s="2" t="s">
        <v>2488</v>
      </c>
      <c r="D158" s="5" t="s">
        <v>2490</v>
      </c>
      <c r="E158" s="4" t="s">
        <v>2491</v>
      </c>
      <c r="F158" s="6">
        <v>14271949</v>
      </c>
      <c r="G158" s="3">
        <v>14271949</v>
      </c>
      <c r="H158" s="7">
        <v>733004738234</v>
      </c>
      <c r="I158" s="8" t="s">
        <v>2863</v>
      </c>
      <c r="J158" s="4">
        <v>1</v>
      </c>
      <c r="K158" s="9">
        <v>6.99</v>
      </c>
      <c r="L158" s="9">
        <v>6.99</v>
      </c>
      <c r="M158" s="4" t="s">
        <v>2777</v>
      </c>
      <c r="N158" s="4" t="s">
        <v>2638</v>
      </c>
      <c r="O158" s="4" t="s">
        <v>2559</v>
      </c>
      <c r="P158" s="4" t="s">
        <v>2503</v>
      </c>
      <c r="Q158" s="4" t="s">
        <v>2504</v>
      </c>
      <c r="R158" s="4"/>
      <c r="S158" s="4"/>
      <c r="T158" s="4" t="str">
        <f>HYPERLINK("http://slimages.macys.com/is/image/MCY/19983979 ")</f>
        <v xml:space="preserve">http://slimages.macys.com/is/image/MCY/19983979 </v>
      </c>
    </row>
    <row r="159" spans="1:20" ht="15" customHeight="1" x14ac:dyDescent="0.25">
      <c r="A159" s="4" t="s">
        <v>2489</v>
      </c>
      <c r="B159" s="2" t="s">
        <v>2487</v>
      </c>
      <c r="C159" s="2" t="s">
        <v>2488</v>
      </c>
      <c r="D159" s="5" t="s">
        <v>2490</v>
      </c>
      <c r="E159" s="4" t="s">
        <v>2491</v>
      </c>
      <c r="F159" s="6">
        <v>14271949</v>
      </c>
      <c r="G159" s="3">
        <v>14271949</v>
      </c>
      <c r="H159" s="7">
        <v>733004738272</v>
      </c>
      <c r="I159" s="8" t="s">
        <v>2838</v>
      </c>
      <c r="J159" s="4">
        <v>2</v>
      </c>
      <c r="K159" s="9">
        <v>6.99</v>
      </c>
      <c r="L159" s="9">
        <v>13.98</v>
      </c>
      <c r="M159" s="4" t="s">
        <v>2777</v>
      </c>
      <c r="N159" s="4" t="s">
        <v>2638</v>
      </c>
      <c r="O159" s="4" t="s">
        <v>2566</v>
      </c>
      <c r="P159" s="4" t="s">
        <v>2503</v>
      </c>
      <c r="Q159" s="4" t="s">
        <v>2504</v>
      </c>
      <c r="R159" s="4"/>
      <c r="S159" s="4"/>
      <c r="T159" s="4" t="str">
        <f>HYPERLINK("http://slimages.macys.com/is/image/MCY/19983979 ")</f>
        <v xml:space="preserve">http://slimages.macys.com/is/image/MCY/19983979 </v>
      </c>
    </row>
    <row r="160" spans="1:20" ht="15" customHeight="1" x14ac:dyDescent="0.25">
      <c r="A160" s="4" t="s">
        <v>2489</v>
      </c>
      <c r="B160" s="2" t="s">
        <v>2487</v>
      </c>
      <c r="C160" s="2" t="s">
        <v>2488</v>
      </c>
      <c r="D160" s="5" t="s">
        <v>2490</v>
      </c>
      <c r="E160" s="4" t="s">
        <v>2491</v>
      </c>
      <c r="F160" s="6">
        <v>14271949</v>
      </c>
      <c r="G160" s="3">
        <v>14271949</v>
      </c>
      <c r="H160" s="7">
        <v>733003642792</v>
      </c>
      <c r="I160" s="8" t="s">
        <v>1946</v>
      </c>
      <c r="J160" s="4">
        <v>9</v>
      </c>
      <c r="K160" s="9">
        <v>22.99</v>
      </c>
      <c r="L160" s="9">
        <v>206.91</v>
      </c>
      <c r="M160" s="4" t="s">
        <v>2529</v>
      </c>
      <c r="N160" s="4" t="s">
        <v>2530</v>
      </c>
      <c r="O160" s="4" t="s">
        <v>2671</v>
      </c>
      <c r="P160" s="4" t="s">
        <v>2515</v>
      </c>
      <c r="Q160" s="4" t="s">
        <v>2516</v>
      </c>
      <c r="R160" s="4"/>
      <c r="S160" s="4"/>
      <c r="T160" s="4" t="str">
        <f>HYPERLINK("http://slimages.macys.com/is/image/MCY/20008078 ")</f>
        <v xml:space="preserve">http://slimages.macys.com/is/image/MCY/20008078 </v>
      </c>
    </row>
    <row r="161" spans="1:20" ht="15" customHeight="1" x14ac:dyDescent="0.25">
      <c r="A161" s="4" t="s">
        <v>2489</v>
      </c>
      <c r="B161" s="2" t="s">
        <v>2487</v>
      </c>
      <c r="C161" s="2" t="s">
        <v>2488</v>
      </c>
      <c r="D161" s="5" t="s">
        <v>2490</v>
      </c>
      <c r="E161" s="4" t="s">
        <v>2491</v>
      </c>
      <c r="F161" s="6">
        <v>14271949</v>
      </c>
      <c r="G161" s="3">
        <v>14271949</v>
      </c>
      <c r="H161" s="7">
        <v>194257452979</v>
      </c>
      <c r="I161" s="8" t="s">
        <v>3003</v>
      </c>
      <c r="J161" s="4">
        <v>1</v>
      </c>
      <c r="K161" s="9">
        <v>14.99</v>
      </c>
      <c r="L161" s="9">
        <v>14.99</v>
      </c>
      <c r="M161" s="4" t="s">
        <v>3004</v>
      </c>
      <c r="N161" s="4" t="s">
        <v>2531</v>
      </c>
      <c r="O161" s="4" t="s">
        <v>2671</v>
      </c>
      <c r="P161" s="4" t="s">
        <v>2619</v>
      </c>
      <c r="Q161" s="4" t="s">
        <v>2500</v>
      </c>
      <c r="R161" s="4"/>
      <c r="S161" s="4"/>
      <c r="T161" s="4" t="str">
        <f>HYPERLINK("http://slimages.macys.com/is/image/MCY/17601950 ")</f>
        <v xml:space="preserve">http://slimages.macys.com/is/image/MCY/17601950 </v>
      </c>
    </row>
    <row r="162" spans="1:20" ht="15" customHeight="1" x14ac:dyDescent="0.25">
      <c r="A162" s="4" t="s">
        <v>2489</v>
      </c>
      <c r="B162" s="2" t="s">
        <v>2487</v>
      </c>
      <c r="C162" s="2" t="s">
        <v>2488</v>
      </c>
      <c r="D162" s="5" t="s">
        <v>2490</v>
      </c>
      <c r="E162" s="4" t="s">
        <v>2491</v>
      </c>
      <c r="F162" s="6">
        <v>14271949</v>
      </c>
      <c r="G162" s="3">
        <v>14271949</v>
      </c>
      <c r="H162" s="7">
        <v>194753969780</v>
      </c>
      <c r="I162" s="8" t="s">
        <v>1742</v>
      </c>
      <c r="J162" s="4">
        <v>4</v>
      </c>
      <c r="K162" s="9">
        <v>44.5</v>
      </c>
      <c r="L162" s="9">
        <v>178</v>
      </c>
      <c r="M162" s="4" t="s">
        <v>2074</v>
      </c>
      <c r="N162" s="4" t="s">
        <v>2665</v>
      </c>
      <c r="O162" s="4"/>
      <c r="P162" s="4" t="s">
        <v>2866</v>
      </c>
      <c r="Q162" s="4" t="s">
        <v>2656</v>
      </c>
      <c r="R162" s="4"/>
      <c r="S162" s="4"/>
      <c r="T162" s="4" t="str">
        <f>HYPERLINK("http://slimages.macys.com/is/image/MCY/20114363 ")</f>
        <v xml:space="preserve">http://slimages.macys.com/is/image/MCY/20114363 </v>
      </c>
    </row>
    <row r="163" spans="1:20" ht="15" customHeight="1" x14ac:dyDescent="0.25">
      <c r="A163" s="4" t="s">
        <v>2489</v>
      </c>
      <c r="B163" s="2" t="s">
        <v>2487</v>
      </c>
      <c r="C163" s="2" t="s">
        <v>2488</v>
      </c>
      <c r="D163" s="5" t="s">
        <v>2490</v>
      </c>
      <c r="E163" s="4" t="s">
        <v>2491</v>
      </c>
      <c r="F163" s="6">
        <v>14271949</v>
      </c>
      <c r="G163" s="3">
        <v>14271949</v>
      </c>
      <c r="H163" s="7">
        <v>192401257609</v>
      </c>
      <c r="I163" s="8" t="s">
        <v>2429</v>
      </c>
      <c r="J163" s="4">
        <v>2</v>
      </c>
      <c r="K163" s="9">
        <v>22.99</v>
      </c>
      <c r="L163" s="9">
        <v>45.98</v>
      </c>
      <c r="M163" s="4" t="s">
        <v>3058</v>
      </c>
      <c r="N163" s="4" t="s">
        <v>2676</v>
      </c>
      <c r="O163" s="4" t="s">
        <v>2498</v>
      </c>
      <c r="P163" s="4" t="s">
        <v>2556</v>
      </c>
      <c r="Q163" s="4" t="s">
        <v>2882</v>
      </c>
      <c r="R163" s="4"/>
      <c r="S163" s="4"/>
      <c r="T163" s="4" t="str">
        <f>HYPERLINK("http://slimages.macys.com/is/image/MCY/18144734 ")</f>
        <v xml:space="preserve">http://slimages.macys.com/is/image/MCY/18144734 </v>
      </c>
    </row>
    <row r="164" spans="1:20" ht="15" customHeight="1" x14ac:dyDescent="0.25">
      <c r="A164" s="4" t="s">
        <v>2489</v>
      </c>
      <c r="B164" s="2" t="s">
        <v>2487</v>
      </c>
      <c r="C164" s="2" t="s">
        <v>2488</v>
      </c>
      <c r="D164" s="5" t="s">
        <v>2490</v>
      </c>
      <c r="E164" s="4" t="s">
        <v>2491</v>
      </c>
      <c r="F164" s="6">
        <v>14271949</v>
      </c>
      <c r="G164" s="3">
        <v>14271949</v>
      </c>
      <c r="H164" s="7">
        <v>194135506299</v>
      </c>
      <c r="I164" s="8" t="s">
        <v>1743</v>
      </c>
      <c r="J164" s="4">
        <v>1</v>
      </c>
      <c r="K164" s="9">
        <v>11.1</v>
      </c>
      <c r="L164" s="9">
        <v>11.1</v>
      </c>
      <c r="M164" s="4" t="s">
        <v>1640</v>
      </c>
      <c r="N164" s="4" t="s">
        <v>2497</v>
      </c>
      <c r="O164" s="4" t="s">
        <v>2587</v>
      </c>
      <c r="P164" s="4" t="s">
        <v>2657</v>
      </c>
      <c r="Q164" s="4" t="s">
        <v>2658</v>
      </c>
      <c r="R164" s="4"/>
      <c r="S164" s="4"/>
      <c r="T164" s="4" t="str">
        <f>HYPERLINK("http://slimages.macys.com/is/image/MCY/19847035 ")</f>
        <v xml:space="preserve">http://slimages.macys.com/is/image/MCY/19847035 </v>
      </c>
    </row>
    <row r="165" spans="1:20" ht="15" customHeight="1" x14ac:dyDescent="0.25">
      <c r="A165" s="4" t="s">
        <v>2489</v>
      </c>
      <c r="B165" s="2" t="s">
        <v>2487</v>
      </c>
      <c r="C165" s="2" t="s">
        <v>2488</v>
      </c>
      <c r="D165" s="5" t="s">
        <v>2490</v>
      </c>
      <c r="E165" s="4" t="s">
        <v>2491</v>
      </c>
      <c r="F165" s="6">
        <v>14271949</v>
      </c>
      <c r="G165" s="3">
        <v>14271949</v>
      </c>
      <c r="H165" s="7">
        <v>194133212642</v>
      </c>
      <c r="I165" s="8" t="s">
        <v>1744</v>
      </c>
      <c r="J165" s="4">
        <v>1</v>
      </c>
      <c r="K165" s="9">
        <v>10.11</v>
      </c>
      <c r="L165" s="9">
        <v>10.11</v>
      </c>
      <c r="M165" s="4" t="s">
        <v>1745</v>
      </c>
      <c r="N165" s="4" t="s">
        <v>2501</v>
      </c>
      <c r="O165" s="4">
        <v>6</v>
      </c>
      <c r="P165" s="4" t="s">
        <v>2657</v>
      </c>
      <c r="Q165" s="4" t="s">
        <v>2658</v>
      </c>
      <c r="R165" s="4"/>
      <c r="S165" s="4"/>
      <c r="T165" s="4" t="str">
        <f>HYPERLINK("http://slimages.macys.com/is/image/MCY/18522836 ")</f>
        <v xml:space="preserve">http://slimages.macys.com/is/image/MCY/18522836 </v>
      </c>
    </row>
    <row r="166" spans="1:20" ht="15" customHeight="1" x14ac:dyDescent="0.25">
      <c r="A166" s="4" t="s">
        <v>2489</v>
      </c>
      <c r="B166" s="2" t="s">
        <v>2487</v>
      </c>
      <c r="C166" s="2" t="s">
        <v>2488</v>
      </c>
      <c r="D166" s="5" t="s">
        <v>2490</v>
      </c>
      <c r="E166" s="4" t="s">
        <v>2491</v>
      </c>
      <c r="F166" s="6">
        <v>14271949</v>
      </c>
      <c r="G166" s="3">
        <v>14271949</v>
      </c>
      <c r="H166" s="7">
        <v>194949200659</v>
      </c>
      <c r="I166" s="8" t="s">
        <v>1746</v>
      </c>
      <c r="J166" s="4">
        <v>1</v>
      </c>
      <c r="K166" s="9">
        <v>18.989999999999998</v>
      </c>
      <c r="L166" s="9">
        <v>18.989999999999998</v>
      </c>
      <c r="M166" s="4" t="s">
        <v>3358</v>
      </c>
      <c r="N166" s="4" t="s">
        <v>2676</v>
      </c>
      <c r="O166" s="4">
        <v>7</v>
      </c>
      <c r="P166" s="4" t="s">
        <v>2536</v>
      </c>
      <c r="Q166" s="4" t="s">
        <v>3359</v>
      </c>
      <c r="R166" s="4"/>
      <c r="S166" s="4"/>
      <c r="T166" s="4" t="str">
        <f>HYPERLINK("http://slimages.macys.com/is/image/MCY/19626699 ")</f>
        <v xml:space="preserve">http://slimages.macys.com/is/image/MCY/19626699 </v>
      </c>
    </row>
    <row r="167" spans="1:20" ht="15" customHeight="1" x14ac:dyDescent="0.25">
      <c r="A167" s="4" t="s">
        <v>2489</v>
      </c>
      <c r="B167" s="2" t="s">
        <v>2487</v>
      </c>
      <c r="C167" s="2" t="s">
        <v>2488</v>
      </c>
      <c r="D167" s="5" t="s">
        <v>2490</v>
      </c>
      <c r="E167" s="4" t="s">
        <v>2491</v>
      </c>
      <c r="F167" s="6">
        <v>14271949</v>
      </c>
      <c r="G167" s="3">
        <v>14271949</v>
      </c>
      <c r="H167" s="7">
        <v>195958145368</v>
      </c>
      <c r="I167" s="8" t="s">
        <v>1747</v>
      </c>
      <c r="J167" s="4">
        <v>1</v>
      </c>
      <c r="K167" s="9">
        <v>24.99</v>
      </c>
      <c r="L167" s="9">
        <v>24.99</v>
      </c>
      <c r="M167" s="4" t="s">
        <v>1748</v>
      </c>
      <c r="N167" s="4" t="s">
        <v>2544</v>
      </c>
      <c r="O167" s="4" t="s">
        <v>2559</v>
      </c>
      <c r="P167" s="4" t="s">
        <v>2562</v>
      </c>
      <c r="Q167" s="4" t="s">
        <v>2603</v>
      </c>
      <c r="R167" s="4"/>
      <c r="S167" s="4"/>
      <c r="T167" s="4" t="str">
        <f>HYPERLINK("http://slimages.macys.com/is/image/MCY/20123050 ")</f>
        <v xml:space="preserve">http://slimages.macys.com/is/image/MCY/20123050 </v>
      </c>
    </row>
    <row r="168" spans="1:20" ht="15" customHeight="1" x14ac:dyDescent="0.25">
      <c r="A168" s="4" t="s">
        <v>2489</v>
      </c>
      <c r="B168" s="2" t="s">
        <v>2487</v>
      </c>
      <c r="C168" s="2" t="s">
        <v>2488</v>
      </c>
      <c r="D168" s="5" t="s">
        <v>2490</v>
      </c>
      <c r="E168" s="4" t="s">
        <v>2491</v>
      </c>
      <c r="F168" s="6">
        <v>14271949</v>
      </c>
      <c r="G168" s="3">
        <v>14271949</v>
      </c>
      <c r="H168" s="7">
        <v>195958125742</v>
      </c>
      <c r="I168" s="8" t="s">
        <v>1749</v>
      </c>
      <c r="J168" s="4">
        <v>1</v>
      </c>
      <c r="K168" s="9">
        <v>19.989999999999998</v>
      </c>
      <c r="L168" s="9">
        <v>19.989999999999998</v>
      </c>
      <c r="M168" s="4" t="s">
        <v>1878</v>
      </c>
      <c r="N168" s="4" t="s">
        <v>2544</v>
      </c>
      <c r="O168" s="4" t="s">
        <v>2566</v>
      </c>
      <c r="P168" s="4" t="s">
        <v>2562</v>
      </c>
      <c r="Q168" s="4" t="s">
        <v>2951</v>
      </c>
      <c r="R168" s="4"/>
      <c r="S168" s="4"/>
      <c r="T168" s="4" t="str">
        <f>HYPERLINK("http://slimages.macys.com/is/image/MCY/20123021 ")</f>
        <v xml:space="preserve">http://slimages.macys.com/is/image/MCY/20123021 </v>
      </c>
    </row>
    <row r="169" spans="1:20" ht="15" customHeight="1" x14ac:dyDescent="0.25">
      <c r="A169" s="4" t="s">
        <v>2489</v>
      </c>
      <c r="B169" s="2" t="s">
        <v>2487</v>
      </c>
      <c r="C169" s="2" t="s">
        <v>2488</v>
      </c>
      <c r="D169" s="5" t="s">
        <v>2490</v>
      </c>
      <c r="E169" s="4" t="s">
        <v>2491</v>
      </c>
      <c r="F169" s="6">
        <v>14271949</v>
      </c>
      <c r="G169" s="3">
        <v>14271949</v>
      </c>
      <c r="H169" s="7">
        <v>194955949740</v>
      </c>
      <c r="I169" s="8" t="s">
        <v>1750</v>
      </c>
      <c r="J169" s="4">
        <v>1</v>
      </c>
      <c r="K169" s="9">
        <v>22.99</v>
      </c>
      <c r="L169" s="9">
        <v>22.99</v>
      </c>
      <c r="M169" s="4" t="s">
        <v>1636</v>
      </c>
      <c r="N169" s="4" t="s">
        <v>2638</v>
      </c>
      <c r="O169" s="4" t="s">
        <v>2555</v>
      </c>
      <c r="P169" s="4" t="s">
        <v>2499</v>
      </c>
      <c r="Q169" s="4" t="s">
        <v>2568</v>
      </c>
      <c r="R169" s="4"/>
      <c r="S169" s="4"/>
      <c r="T169" s="4" t="str">
        <f>HYPERLINK("http://slimages.macys.com/is/image/MCY/18249695 ")</f>
        <v xml:space="preserve">http://slimages.macys.com/is/image/MCY/18249695 </v>
      </c>
    </row>
    <row r="170" spans="1:20" ht="15" customHeight="1" x14ac:dyDescent="0.25">
      <c r="A170" s="4" t="s">
        <v>2489</v>
      </c>
      <c r="B170" s="2" t="s">
        <v>2487</v>
      </c>
      <c r="C170" s="2" t="s">
        <v>2488</v>
      </c>
      <c r="D170" s="5" t="s">
        <v>2490</v>
      </c>
      <c r="E170" s="4" t="s">
        <v>2491</v>
      </c>
      <c r="F170" s="6">
        <v>14271949</v>
      </c>
      <c r="G170" s="3">
        <v>14271949</v>
      </c>
      <c r="H170" s="7">
        <v>733003141127</v>
      </c>
      <c r="I170" s="8" t="s">
        <v>1751</v>
      </c>
      <c r="J170" s="4">
        <v>1</v>
      </c>
      <c r="K170" s="9">
        <v>5.99</v>
      </c>
      <c r="L170" s="9">
        <v>5.99</v>
      </c>
      <c r="M170" s="4" t="s">
        <v>1752</v>
      </c>
      <c r="N170" s="4" t="s">
        <v>2638</v>
      </c>
      <c r="O170" s="4" t="s">
        <v>2559</v>
      </c>
      <c r="P170" s="4" t="s">
        <v>2503</v>
      </c>
      <c r="Q170" s="4" t="s">
        <v>2504</v>
      </c>
      <c r="R170" s="4"/>
      <c r="S170" s="4"/>
      <c r="T170" s="4" t="str">
        <f>HYPERLINK("http://slimages.macys.com/is/image/MCY/19217937 ")</f>
        <v xml:space="preserve">http://slimages.macys.com/is/image/MCY/19217937 </v>
      </c>
    </row>
    <row r="171" spans="1:20" ht="15" customHeight="1" x14ac:dyDescent="0.25">
      <c r="A171" s="4" t="s">
        <v>2489</v>
      </c>
      <c r="B171" s="2" t="s">
        <v>2487</v>
      </c>
      <c r="C171" s="2" t="s">
        <v>2488</v>
      </c>
      <c r="D171" s="5" t="s">
        <v>2490</v>
      </c>
      <c r="E171" s="4" t="s">
        <v>2491</v>
      </c>
      <c r="F171" s="6">
        <v>14271949</v>
      </c>
      <c r="G171" s="3">
        <v>14271949</v>
      </c>
      <c r="H171" s="7">
        <v>733004884962</v>
      </c>
      <c r="I171" s="8" t="s">
        <v>2022</v>
      </c>
      <c r="J171" s="4">
        <v>2</v>
      </c>
      <c r="K171" s="9">
        <v>8.99</v>
      </c>
      <c r="L171" s="9">
        <v>17.98</v>
      </c>
      <c r="M171" s="4" t="s">
        <v>2647</v>
      </c>
      <c r="N171" s="4" t="s">
        <v>2501</v>
      </c>
      <c r="O171" s="4" t="s">
        <v>2566</v>
      </c>
      <c r="P171" s="4" t="s">
        <v>2503</v>
      </c>
      <c r="Q171" s="4" t="s">
        <v>2504</v>
      </c>
      <c r="R171" s="4"/>
      <c r="S171" s="4"/>
      <c r="T171" s="4" t="str">
        <f>HYPERLINK("http://slimages.macys.com/is/image/MCY/1030515 ")</f>
        <v xml:space="preserve">http://slimages.macys.com/is/image/MCY/1030515 </v>
      </c>
    </row>
    <row r="172" spans="1:20" ht="15" customHeight="1" x14ac:dyDescent="0.25">
      <c r="A172" s="4" t="s">
        <v>2489</v>
      </c>
      <c r="B172" s="2" t="s">
        <v>2487</v>
      </c>
      <c r="C172" s="2" t="s">
        <v>2488</v>
      </c>
      <c r="D172" s="5" t="s">
        <v>2490</v>
      </c>
      <c r="E172" s="4" t="s">
        <v>2491</v>
      </c>
      <c r="F172" s="6">
        <v>14271949</v>
      </c>
      <c r="G172" s="3">
        <v>14271949</v>
      </c>
      <c r="H172" s="7">
        <v>733004722691</v>
      </c>
      <c r="I172" s="8" t="s">
        <v>1365</v>
      </c>
      <c r="J172" s="4">
        <v>1</v>
      </c>
      <c r="K172" s="9">
        <v>25.99</v>
      </c>
      <c r="L172" s="9">
        <v>25.99</v>
      </c>
      <c r="M172" s="4" t="s">
        <v>3193</v>
      </c>
      <c r="N172" s="4" t="s">
        <v>2530</v>
      </c>
      <c r="O172" s="4" t="s">
        <v>2559</v>
      </c>
      <c r="P172" s="4" t="s">
        <v>2503</v>
      </c>
      <c r="Q172" s="4" t="s">
        <v>2504</v>
      </c>
      <c r="R172" s="4"/>
      <c r="S172" s="4"/>
      <c r="T172" s="4" t="str">
        <f>HYPERLINK("http://slimages.macys.com/is/image/MCY/19977902 ")</f>
        <v xml:space="preserve">http://slimages.macys.com/is/image/MCY/19977902 </v>
      </c>
    </row>
    <row r="173" spans="1:20" ht="15" customHeight="1" x14ac:dyDescent="0.25">
      <c r="A173" s="4" t="s">
        <v>2489</v>
      </c>
      <c r="B173" s="2" t="s">
        <v>2487</v>
      </c>
      <c r="C173" s="2" t="s">
        <v>2488</v>
      </c>
      <c r="D173" s="5" t="s">
        <v>2490</v>
      </c>
      <c r="E173" s="4" t="s">
        <v>2491</v>
      </c>
      <c r="F173" s="6">
        <v>14271949</v>
      </c>
      <c r="G173" s="3">
        <v>14271949</v>
      </c>
      <c r="H173" s="7">
        <v>194135412569</v>
      </c>
      <c r="I173" s="8" t="s">
        <v>1606</v>
      </c>
      <c r="J173" s="4">
        <v>1</v>
      </c>
      <c r="K173" s="9">
        <v>25.07</v>
      </c>
      <c r="L173" s="9">
        <v>25.07</v>
      </c>
      <c r="M173" s="4" t="s">
        <v>1607</v>
      </c>
      <c r="N173" s="4"/>
      <c r="O173" s="4" t="s">
        <v>2502</v>
      </c>
      <c r="P173" s="4" t="s">
        <v>2494</v>
      </c>
      <c r="Q173" s="4" t="s">
        <v>2560</v>
      </c>
      <c r="R173" s="4"/>
      <c r="S173" s="4"/>
      <c r="T173" s="4"/>
    </row>
    <row r="174" spans="1:20" ht="15" customHeight="1" x14ac:dyDescent="0.25">
      <c r="A174" s="4" t="s">
        <v>2489</v>
      </c>
      <c r="B174" s="2" t="s">
        <v>2487</v>
      </c>
      <c r="C174" s="2" t="s">
        <v>2488</v>
      </c>
      <c r="D174" s="5" t="s">
        <v>2490</v>
      </c>
      <c r="E174" s="4" t="s">
        <v>2491</v>
      </c>
      <c r="F174" s="6">
        <v>14271949</v>
      </c>
      <c r="G174" s="3">
        <v>14271949</v>
      </c>
      <c r="H174" s="7">
        <v>762120020268</v>
      </c>
      <c r="I174" s="8" t="s">
        <v>2186</v>
      </c>
      <c r="J174" s="4">
        <v>1</v>
      </c>
      <c r="K174" s="9">
        <v>6.99</v>
      </c>
      <c r="L174" s="9">
        <v>6.99</v>
      </c>
      <c r="M174" s="4" t="s">
        <v>3235</v>
      </c>
      <c r="N174" s="4" t="s">
        <v>2565</v>
      </c>
      <c r="O174" s="4" t="s">
        <v>2566</v>
      </c>
      <c r="P174" s="4" t="s">
        <v>2503</v>
      </c>
      <c r="Q174" s="4" t="s">
        <v>2504</v>
      </c>
      <c r="R174" s="4"/>
      <c r="S174" s="4"/>
      <c r="T174" s="4" t="str">
        <f>HYPERLINK("http://slimages.macys.com/is/image/MCY/20436495 ")</f>
        <v xml:space="preserve">http://slimages.macys.com/is/image/MCY/20436495 </v>
      </c>
    </row>
    <row r="175" spans="1:20" ht="15" customHeight="1" x14ac:dyDescent="0.25">
      <c r="A175" s="4" t="s">
        <v>2489</v>
      </c>
      <c r="B175" s="2" t="s">
        <v>2487</v>
      </c>
      <c r="C175" s="2" t="s">
        <v>2488</v>
      </c>
      <c r="D175" s="5" t="s">
        <v>2490</v>
      </c>
      <c r="E175" s="4" t="s">
        <v>2491</v>
      </c>
      <c r="F175" s="6">
        <v>14271949</v>
      </c>
      <c r="G175" s="3">
        <v>14271949</v>
      </c>
      <c r="H175" s="7">
        <v>194257499493</v>
      </c>
      <c r="I175" s="8" t="s">
        <v>1753</v>
      </c>
      <c r="J175" s="4">
        <v>1</v>
      </c>
      <c r="K175" s="9">
        <v>16.25</v>
      </c>
      <c r="L175" s="9">
        <v>16.25</v>
      </c>
      <c r="M175" s="4" t="s">
        <v>1754</v>
      </c>
      <c r="N175" s="4" t="s">
        <v>2531</v>
      </c>
      <c r="O175" s="4" t="s">
        <v>2671</v>
      </c>
      <c r="P175" s="4" t="s">
        <v>2619</v>
      </c>
      <c r="Q175" s="4" t="s">
        <v>2500</v>
      </c>
      <c r="R175" s="4"/>
      <c r="S175" s="4"/>
      <c r="T175" s="4" t="str">
        <f>HYPERLINK("http://slimages.macys.com/is/image/MCY/19995043 ")</f>
        <v xml:space="preserve">http://slimages.macys.com/is/image/MCY/19995043 </v>
      </c>
    </row>
    <row r="176" spans="1:20" ht="15" customHeight="1" x14ac:dyDescent="0.25">
      <c r="A176" s="4" t="s">
        <v>2489</v>
      </c>
      <c r="B176" s="2" t="s">
        <v>2487</v>
      </c>
      <c r="C176" s="2" t="s">
        <v>2488</v>
      </c>
      <c r="D176" s="5" t="s">
        <v>2490</v>
      </c>
      <c r="E176" s="4" t="s">
        <v>2491</v>
      </c>
      <c r="F176" s="6">
        <v>14271949</v>
      </c>
      <c r="G176" s="3">
        <v>14271949</v>
      </c>
      <c r="H176" s="7">
        <v>733001129929</v>
      </c>
      <c r="I176" s="8" t="s">
        <v>1755</v>
      </c>
      <c r="J176" s="4">
        <v>1</v>
      </c>
      <c r="K176" s="9">
        <v>5.99</v>
      </c>
      <c r="L176" s="9">
        <v>5.99</v>
      </c>
      <c r="M176" s="4" t="s">
        <v>2727</v>
      </c>
      <c r="N176" s="4" t="s">
        <v>2497</v>
      </c>
      <c r="O176" s="4" t="s">
        <v>2650</v>
      </c>
      <c r="P176" s="4" t="s">
        <v>2520</v>
      </c>
      <c r="Q176" s="4" t="s">
        <v>2528</v>
      </c>
      <c r="R176" s="4"/>
      <c r="S176" s="4"/>
      <c r="T176" s="4" t="str">
        <f>HYPERLINK("http://slimages.macys.com/is/image/MCY/17752086 ")</f>
        <v xml:space="preserve">http://slimages.macys.com/is/image/MCY/17752086 </v>
      </c>
    </row>
    <row r="177" spans="1:20" ht="15" customHeight="1" x14ac:dyDescent="0.25">
      <c r="A177" s="4" t="s">
        <v>2489</v>
      </c>
      <c r="B177" s="2" t="s">
        <v>2487</v>
      </c>
      <c r="C177" s="2" t="s">
        <v>2488</v>
      </c>
      <c r="D177" s="5" t="s">
        <v>2490</v>
      </c>
      <c r="E177" s="4" t="s">
        <v>2491</v>
      </c>
      <c r="F177" s="6">
        <v>14271949</v>
      </c>
      <c r="G177" s="3">
        <v>14271949</v>
      </c>
      <c r="H177" s="7">
        <v>733002944552</v>
      </c>
      <c r="I177" s="8" t="s">
        <v>2707</v>
      </c>
      <c r="J177" s="4">
        <v>1</v>
      </c>
      <c r="K177" s="9">
        <v>5.99</v>
      </c>
      <c r="L177" s="9">
        <v>5.99</v>
      </c>
      <c r="M177" s="4" t="s">
        <v>2708</v>
      </c>
      <c r="N177" s="4" t="s">
        <v>2508</v>
      </c>
      <c r="O177" s="4" t="s">
        <v>2629</v>
      </c>
      <c r="P177" s="4" t="s">
        <v>2520</v>
      </c>
      <c r="Q177" s="4" t="s">
        <v>2528</v>
      </c>
      <c r="R177" s="4"/>
      <c r="S177" s="4"/>
      <c r="T177" s="4" t="str">
        <f>HYPERLINK("http://slimages.macys.com/is/image/MCY/19239571 ")</f>
        <v xml:space="preserve">http://slimages.macys.com/is/image/MCY/19239571 </v>
      </c>
    </row>
    <row r="178" spans="1:20" ht="15" customHeight="1" x14ac:dyDescent="0.25">
      <c r="A178" s="4" t="s">
        <v>2489</v>
      </c>
      <c r="B178" s="2" t="s">
        <v>2487</v>
      </c>
      <c r="C178" s="2" t="s">
        <v>2488</v>
      </c>
      <c r="D178" s="5" t="s">
        <v>2490</v>
      </c>
      <c r="E178" s="4" t="s">
        <v>2491</v>
      </c>
      <c r="F178" s="6">
        <v>14271949</v>
      </c>
      <c r="G178" s="3">
        <v>14271949</v>
      </c>
      <c r="H178" s="7">
        <v>733004297632</v>
      </c>
      <c r="I178" s="8" t="s">
        <v>2138</v>
      </c>
      <c r="J178" s="4">
        <v>1</v>
      </c>
      <c r="K178" s="9">
        <v>27.99</v>
      </c>
      <c r="L178" s="9">
        <v>27.99</v>
      </c>
      <c r="M178" s="4" t="s">
        <v>2949</v>
      </c>
      <c r="N178" s="4" t="s">
        <v>2497</v>
      </c>
      <c r="O178" s="4" t="s">
        <v>2555</v>
      </c>
      <c r="P178" s="4" t="s">
        <v>2515</v>
      </c>
      <c r="Q178" s="4" t="s">
        <v>2672</v>
      </c>
      <c r="R178" s="4"/>
      <c r="S178" s="4"/>
      <c r="T178" s="4" t="str">
        <f>HYPERLINK("http://slimages.macys.com/is/image/MCY/20143278 ")</f>
        <v xml:space="preserve">http://slimages.macys.com/is/image/MCY/20143278 </v>
      </c>
    </row>
    <row r="179" spans="1:20" ht="15" customHeight="1" x14ac:dyDescent="0.25">
      <c r="A179" s="4" t="s">
        <v>2489</v>
      </c>
      <c r="B179" s="2" t="s">
        <v>2487</v>
      </c>
      <c r="C179" s="2" t="s">
        <v>2488</v>
      </c>
      <c r="D179" s="5" t="s">
        <v>2490</v>
      </c>
      <c r="E179" s="4" t="s">
        <v>2491</v>
      </c>
      <c r="F179" s="6">
        <v>14271949</v>
      </c>
      <c r="G179" s="3">
        <v>14271949</v>
      </c>
      <c r="H179" s="7">
        <v>762120263894</v>
      </c>
      <c r="I179" s="8" t="s">
        <v>1574</v>
      </c>
      <c r="J179" s="4">
        <v>1</v>
      </c>
      <c r="K179" s="9">
        <v>22.99</v>
      </c>
      <c r="L179" s="9">
        <v>22.99</v>
      </c>
      <c r="M179" s="4" t="s">
        <v>1575</v>
      </c>
      <c r="N179" s="4" t="s">
        <v>2501</v>
      </c>
      <c r="O179" s="4" t="s">
        <v>2498</v>
      </c>
      <c r="P179" s="4" t="s">
        <v>2543</v>
      </c>
      <c r="Q179" s="4" t="s">
        <v>2528</v>
      </c>
      <c r="R179" s="4"/>
      <c r="S179" s="4"/>
      <c r="T179" s="4" t="str">
        <f>HYPERLINK("http://slimages.macys.com/is/image/MCY/1111487 ")</f>
        <v xml:space="preserve">http://slimages.macys.com/is/image/MCY/1111487 </v>
      </c>
    </row>
    <row r="180" spans="1:20" ht="15" customHeight="1" x14ac:dyDescent="0.25">
      <c r="A180" s="4" t="s">
        <v>2489</v>
      </c>
      <c r="B180" s="2" t="s">
        <v>2487</v>
      </c>
      <c r="C180" s="2" t="s">
        <v>2488</v>
      </c>
      <c r="D180" s="5" t="s">
        <v>2490</v>
      </c>
      <c r="E180" s="4" t="s">
        <v>2491</v>
      </c>
      <c r="F180" s="6">
        <v>14271949</v>
      </c>
      <c r="G180" s="3">
        <v>14271949</v>
      </c>
      <c r="H180" s="7">
        <v>81715951016</v>
      </c>
      <c r="I180" s="8" t="s">
        <v>1756</v>
      </c>
      <c r="J180" s="4">
        <v>12</v>
      </c>
      <c r="K180" s="9">
        <v>12.99</v>
      </c>
      <c r="L180" s="9">
        <v>155.88</v>
      </c>
      <c r="M180" s="4" t="s">
        <v>1757</v>
      </c>
      <c r="N180" s="4" t="s">
        <v>3084</v>
      </c>
      <c r="O180" s="4" t="s">
        <v>2538</v>
      </c>
      <c r="P180" s="4" t="s">
        <v>2539</v>
      </c>
      <c r="Q180" s="4" t="s">
        <v>2540</v>
      </c>
      <c r="R180" s="4"/>
      <c r="S180" s="4"/>
      <c r="T180" s="4" t="str">
        <f>HYPERLINK("http://slimages.macys.com/is/image/MCY/21030778 ")</f>
        <v xml:space="preserve">http://slimages.macys.com/is/image/MCY/21030778 </v>
      </c>
    </row>
    <row r="181" spans="1:20" ht="15" customHeight="1" x14ac:dyDescent="0.25">
      <c r="A181" s="4" t="s">
        <v>2489</v>
      </c>
      <c r="B181" s="2" t="s">
        <v>2487</v>
      </c>
      <c r="C181" s="2" t="s">
        <v>2488</v>
      </c>
      <c r="D181" s="5" t="s">
        <v>2490</v>
      </c>
      <c r="E181" s="4" t="s">
        <v>2491</v>
      </c>
      <c r="F181" s="6">
        <v>14271949</v>
      </c>
      <c r="G181" s="3">
        <v>14271949</v>
      </c>
      <c r="H181" s="7">
        <v>196027073230</v>
      </c>
      <c r="I181" s="8" t="s">
        <v>1758</v>
      </c>
      <c r="J181" s="4">
        <v>26</v>
      </c>
      <c r="K181" s="9">
        <v>17.989999999999998</v>
      </c>
      <c r="L181" s="9">
        <v>467.74</v>
      </c>
      <c r="M181" s="4" t="s">
        <v>1704</v>
      </c>
      <c r="N181" s="4" t="s">
        <v>2544</v>
      </c>
      <c r="O181" s="4" t="s">
        <v>2587</v>
      </c>
      <c r="P181" s="4" t="s">
        <v>2569</v>
      </c>
      <c r="Q181" s="4" t="s">
        <v>2570</v>
      </c>
      <c r="R181" s="4"/>
      <c r="S181" s="4"/>
      <c r="T181" s="4" t="str">
        <f>HYPERLINK("http://slimages.macys.com/is/image/MCY/20662587 ")</f>
        <v xml:space="preserve">http://slimages.macys.com/is/image/MCY/20662587 </v>
      </c>
    </row>
    <row r="182" spans="1:20" ht="15" customHeight="1" x14ac:dyDescent="0.25">
      <c r="A182" s="4" t="s">
        <v>2489</v>
      </c>
      <c r="B182" s="2" t="s">
        <v>2487</v>
      </c>
      <c r="C182" s="2" t="s">
        <v>2488</v>
      </c>
      <c r="D182" s="5" t="s">
        <v>2490</v>
      </c>
      <c r="E182" s="4" t="s">
        <v>2491</v>
      </c>
      <c r="F182" s="6">
        <v>14271949</v>
      </c>
      <c r="G182" s="3">
        <v>14271949</v>
      </c>
      <c r="H182" s="7">
        <v>888282746485</v>
      </c>
      <c r="I182" s="8" t="s">
        <v>1759</v>
      </c>
      <c r="J182" s="4">
        <v>1</v>
      </c>
      <c r="K182" s="9">
        <v>17.989999999999998</v>
      </c>
      <c r="L182" s="9">
        <v>17.989999999999998</v>
      </c>
      <c r="M182" s="4" t="s">
        <v>1760</v>
      </c>
      <c r="N182" s="4" t="s">
        <v>2728</v>
      </c>
      <c r="O182" s="4"/>
      <c r="P182" s="4" t="s">
        <v>2750</v>
      </c>
      <c r="Q182" s="4" t="s">
        <v>1992</v>
      </c>
      <c r="R182" s="4"/>
      <c r="S182" s="4"/>
      <c r="T182" s="4" t="str">
        <f>HYPERLINK("http://slimages.macys.com/is/image/MCY/18629476 ")</f>
        <v xml:space="preserve">http://slimages.macys.com/is/image/MCY/18629476 </v>
      </c>
    </row>
    <row r="183" spans="1:20" ht="15" customHeight="1" x14ac:dyDescent="0.25">
      <c r="A183" s="4" t="s">
        <v>2489</v>
      </c>
      <c r="B183" s="2" t="s">
        <v>2487</v>
      </c>
      <c r="C183" s="2" t="s">
        <v>2488</v>
      </c>
      <c r="D183" s="5" t="s">
        <v>2490</v>
      </c>
      <c r="E183" s="4" t="s">
        <v>2491</v>
      </c>
      <c r="F183" s="6">
        <v>14271949</v>
      </c>
      <c r="G183" s="3">
        <v>14271949</v>
      </c>
      <c r="H183" s="7">
        <v>194931204498</v>
      </c>
      <c r="I183" s="8" t="s">
        <v>1873</v>
      </c>
      <c r="J183" s="4">
        <v>4</v>
      </c>
      <c r="K183" s="9">
        <v>19.8</v>
      </c>
      <c r="L183" s="9">
        <v>79.2</v>
      </c>
      <c r="M183" s="4" t="s">
        <v>1862</v>
      </c>
      <c r="N183" s="4" t="s">
        <v>2531</v>
      </c>
      <c r="O183" s="4"/>
      <c r="P183" s="4" t="s">
        <v>2622</v>
      </c>
      <c r="Q183" s="4" t="s">
        <v>2643</v>
      </c>
      <c r="R183" s="4"/>
      <c r="S183" s="4"/>
      <c r="T183" s="4" t="str">
        <f>HYPERLINK("http://slimages.macys.com/is/image/MCY/19992291 ")</f>
        <v xml:space="preserve">http://slimages.macys.com/is/image/MCY/19992291 </v>
      </c>
    </row>
    <row r="184" spans="1:20" ht="15" customHeight="1" x14ac:dyDescent="0.25">
      <c r="A184" s="4" t="s">
        <v>2489</v>
      </c>
      <c r="B184" s="2" t="s">
        <v>2487</v>
      </c>
      <c r="C184" s="2" t="s">
        <v>2488</v>
      </c>
      <c r="D184" s="5" t="s">
        <v>2490</v>
      </c>
      <c r="E184" s="4" t="s">
        <v>2491</v>
      </c>
      <c r="F184" s="6">
        <v>14271949</v>
      </c>
      <c r="G184" s="3">
        <v>14271949</v>
      </c>
      <c r="H184" s="7">
        <v>195958076204</v>
      </c>
      <c r="I184" s="8" t="s">
        <v>1871</v>
      </c>
      <c r="J184" s="4">
        <v>2</v>
      </c>
      <c r="K184" s="9">
        <v>24.99</v>
      </c>
      <c r="L184" s="9">
        <v>49.98</v>
      </c>
      <c r="M184" s="4" t="s">
        <v>1872</v>
      </c>
      <c r="N184" s="4" t="s">
        <v>2544</v>
      </c>
      <c r="O184" s="4" t="s">
        <v>2559</v>
      </c>
      <c r="P184" s="4" t="s">
        <v>2562</v>
      </c>
      <c r="Q184" s="4" t="s">
        <v>2715</v>
      </c>
      <c r="R184" s="4"/>
      <c r="S184" s="4"/>
      <c r="T184" s="4" t="str">
        <f>HYPERLINK("http://slimages.macys.com/is/image/MCY/20686822 ")</f>
        <v xml:space="preserve">http://slimages.macys.com/is/image/MCY/20686822 </v>
      </c>
    </row>
    <row r="185" spans="1:20" ht="15" customHeight="1" x14ac:dyDescent="0.25">
      <c r="A185" s="4" t="s">
        <v>2489</v>
      </c>
      <c r="B185" s="2" t="s">
        <v>2487</v>
      </c>
      <c r="C185" s="2" t="s">
        <v>2488</v>
      </c>
      <c r="D185" s="5" t="s">
        <v>2490</v>
      </c>
      <c r="E185" s="4" t="s">
        <v>2491</v>
      </c>
      <c r="F185" s="6">
        <v>14271949</v>
      </c>
      <c r="G185" s="3">
        <v>14271949</v>
      </c>
      <c r="H185" s="7">
        <v>194135470187</v>
      </c>
      <c r="I185" s="8" t="s">
        <v>1761</v>
      </c>
      <c r="J185" s="4">
        <v>1</v>
      </c>
      <c r="K185" s="9">
        <v>22.52</v>
      </c>
      <c r="L185" s="9">
        <v>22.52</v>
      </c>
      <c r="M185" s="4" t="s">
        <v>1762</v>
      </c>
      <c r="N185" s="4" t="s">
        <v>2514</v>
      </c>
      <c r="O185" s="4" t="s">
        <v>2502</v>
      </c>
      <c r="P185" s="4" t="s">
        <v>2494</v>
      </c>
      <c r="Q185" s="4" t="s">
        <v>2495</v>
      </c>
      <c r="R185" s="4"/>
      <c r="S185" s="4"/>
      <c r="T185" s="4" t="str">
        <f>HYPERLINK("http://slimages.macys.com/is/image/MCY/19901922 ")</f>
        <v xml:space="preserve">http://slimages.macys.com/is/image/MCY/19901922 </v>
      </c>
    </row>
    <row r="186" spans="1:20" ht="15" customHeight="1" x14ac:dyDescent="0.25">
      <c r="A186" s="4" t="s">
        <v>2489</v>
      </c>
      <c r="B186" s="2" t="s">
        <v>2487</v>
      </c>
      <c r="C186" s="2" t="s">
        <v>2488</v>
      </c>
      <c r="D186" s="5" t="s">
        <v>2490</v>
      </c>
      <c r="E186" s="4" t="s">
        <v>2491</v>
      </c>
      <c r="F186" s="6">
        <v>14271949</v>
      </c>
      <c r="G186" s="3">
        <v>14271949</v>
      </c>
      <c r="H186" s="7">
        <v>733003926717</v>
      </c>
      <c r="I186" s="8" t="s">
        <v>2940</v>
      </c>
      <c r="J186" s="4">
        <v>1</v>
      </c>
      <c r="K186" s="9">
        <v>6.99</v>
      </c>
      <c r="L186" s="9">
        <v>6.99</v>
      </c>
      <c r="M186" s="4" t="s">
        <v>2941</v>
      </c>
      <c r="N186" s="4" t="s">
        <v>2682</v>
      </c>
      <c r="O186" s="4" t="s">
        <v>2502</v>
      </c>
      <c r="P186" s="4" t="s">
        <v>2503</v>
      </c>
      <c r="Q186" s="4" t="s">
        <v>2504</v>
      </c>
      <c r="R186" s="4"/>
      <c r="S186" s="4"/>
      <c r="T186" s="4" t="str">
        <f>HYPERLINK("http://slimages.macys.com/is/image/MCY/19507809 ")</f>
        <v xml:space="preserve">http://slimages.macys.com/is/image/MCY/19507809 </v>
      </c>
    </row>
    <row r="187" spans="1:20" ht="15" customHeight="1" x14ac:dyDescent="0.25">
      <c r="A187" s="4" t="s">
        <v>2489</v>
      </c>
      <c r="B187" s="2" t="s">
        <v>2487</v>
      </c>
      <c r="C187" s="2" t="s">
        <v>2488</v>
      </c>
      <c r="D187" s="5" t="s">
        <v>2490</v>
      </c>
      <c r="E187" s="4" t="s">
        <v>2491</v>
      </c>
      <c r="F187" s="6">
        <v>14271949</v>
      </c>
      <c r="G187" s="3">
        <v>14271949</v>
      </c>
      <c r="H187" s="7">
        <v>733003919801</v>
      </c>
      <c r="I187" s="8" t="s">
        <v>1763</v>
      </c>
      <c r="J187" s="4">
        <v>1</v>
      </c>
      <c r="K187" s="9">
        <v>13.99</v>
      </c>
      <c r="L187" s="9">
        <v>13.99</v>
      </c>
      <c r="M187" s="4" t="s">
        <v>2683</v>
      </c>
      <c r="N187" s="4" t="s">
        <v>2600</v>
      </c>
      <c r="O187" s="4" t="s">
        <v>2607</v>
      </c>
      <c r="P187" s="4" t="s">
        <v>2503</v>
      </c>
      <c r="Q187" s="4" t="s">
        <v>2504</v>
      </c>
      <c r="R187" s="4"/>
      <c r="S187" s="4"/>
      <c r="T187" s="4" t="str">
        <f>HYPERLINK("http://slimages.macys.com/is/image/MCY/901607 ")</f>
        <v xml:space="preserve">http://slimages.macys.com/is/image/MCY/901607 </v>
      </c>
    </row>
    <row r="188" spans="1:20" ht="15" customHeight="1" x14ac:dyDescent="0.25">
      <c r="A188" s="4" t="s">
        <v>2489</v>
      </c>
      <c r="B188" s="2" t="s">
        <v>2487</v>
      </c>
      <c r="C188" s="2" t="s">
        <v>2488</v>
      </c>
      <c r="D188" s="5" t="s">
        <v>2490</v>
      </c>
      <c r="E188" s="4" t="s">
        <v>2491</v>
      </c>
      <c r="F188" s="6">
        <v>14271949</v>
      </c>
      <c r="G188" s="3">
        <v>14271949</v>
      </c>
      <c r="H188" s="7">
        <v>733003926748</v>
      </c>
      <c r="I188" s="8" t="s">
        <v>1764</v>
      </c>
      <c r="J188" s="4">
        <v>1</v>
      </c>
      <c r="K188" s="9">
        <v>5.99</v>
      </c>
      <c r="L188" s="9">
        <v>5.99</v>
      </c>
      <c r="M188" s="4" t="s">
        <v>3121</v>
      </c>
      <c r="N188" s="4" t="s">
        <v>2531</v>
      </c>
      <c r="O188" s="4" t="s">
        <v>2566</v>
      </c>
      <c r="P188" s="4" t="s">
        <v>2503</v>
      </c>
      <c r="Q188" s="4" t="s">
        <v>2504</v>
      </c>
      <c r="R188" s="4"/>
      <c r="S188" s="4"/>
      <c r="T188" s="4" t="str">
        <f>HYPERLINK("http://slimages.macys.com/is/image/MCY/903950 ")</f>
        <v xml:space="preserve">http://slimages.macys.com/is/image/MCY/903950 </v>
      </c>
    </row>
    <row r="189" spans="1:20" ht="15" customHeight="1" x14ac:dyDescent="0.25">
      <c r="A189" s="4" t="s">
        <v>2489</v>
      </c>
      <c r="B189" s="2" t="s">
        <v>2487</v>
      </c>
      <c r="C189" s="2" t="s">
        <v>2488</v>
      </c>
      <c r="D189" s="5" t="s">
        <v>2490</v>
      </c>
      <c r="E189" s="4" t="s">
        <v>2491</v>
      </c>
      <c r="F189" s="6">
        <v>14271949</v>
      </c>
      <c r="G189" s="3">
        <v>14271949</v>
      </c>
      <c r="H189" s="7">
        <v>733003926731</v>
      </c>
      <c r="I189" s="8" t="s">
        <v>3384</v>
      </c>
      <c r="J189" s="4">
        <v>3</v>
      </c>
      <c r="K189" s="9">
        <v>5.99</v>
      </c>
      <c r="L189" s="9">
        <v>17.97</v>
      </c>
      <c r="M189" s="4" t="s">
        <v>3121</v>
      </c>
      <c r="N189" s="4" t="s">
        <v>2531</v>
      </c>
      <c r="O189" s="4" t="s">
        <v>2601</v>
      </c>
      <c r="P189" s="4" t="s">
        <v>2503</v>
      </c>
      <c r="Q189" s="4" t="s">
        <v>2504</v>
      </c>
      <c r="R189" s="4"/>
      <c r="S189" s="4"/>
      <c r="T189" s="4" t="str">
        <f>HYPERLINK("http://slimages.macys.com/is/image/MCY/903950 ")</f>
        <v xml:space="preserve">http://slimages.macys.com/is/image/MCY/903950 </v>
      </c>
    </row>
    <row r="190" spans="1:20" ht="15" customHeight="1" x14ac:dyDescent="0.25">
      <c r="A190" s="4" t="s">
        <v>2489</v>
      </c>
      <c r="B190" s="2" t="s">
        <v>2487</v>
      </c>
      <c r="C190" s="2" t="s">
        <v>2488</v>
      </c>
      <c r="D190" s="5" t="s">
        <v>2490</v>
      </c>
      <c r="E190" s="4" t="s">
        <v>2491</v>
      </c>
      <c r="F190" s="6">
        <v>14271949</v>
      </c>
      <c r="G190" s="3">
        <v>14271949</v>
      </c>
      <c r="H190" s="7">
        <v>194753925717</v>
      </c>
      <c r="I190" s="8" t="s">
        <v>1765</v>
      </c>
      <c r="J190" s="4">
        <v>3</v>
      </c>
      <c r="K190" s="9">
        <v>26.4</v>
      </c>
      <c r="L190" s="9">
        <v>79.2</v>
      </c>
      <c r="M190" s="4" t="s">
        <v>1898</v>
      </c>
      <c r="N190" s="4" t="s">
        <v>2544</v>
      </c>
      <c r="O190" s="4">
        <v>5</v>
      </c>
      <c r="P190" s="4" t="s">
        <v>2506</v>
      </c>
      <c r="Q190" s="4" t="s">
        <v>2995</v>
      </c>
      <c r="R190" s="4"/>
      <c r="S190" s="4"/>
      <c r="T190" s="4" t="str">
        <f>HYPERLINK("http://slimages.macys.com/is/image/MCY/20268680 ")</f>
        <v xml:space="preserve">http://slimages.macys.com/is/image/MCY/20268680 </v>
      </c>
    </row>
    <row r="191" spans="1:20" ht="15" customHeight="1" x14ac:dyDescent="0.25">
      <c r="A191" s="4" t="s">
        <v>2489</v>
      </c>
      <c r="B191" s="2" t="s">
        <v>2487</v>
      </c>
      <c r="C191" s="2" t="s">
        <v>2488</v>
      </c>
      <c r="D191" s="5" t="s">
        <v>2490</v>
      </c>
      <c r="E191" s="4" t="s">
        <v>2491</v>
      </c>
      <c r="F191" s="6">
        <v>14271949</v>
      </c>
      <c r="G191" s="3">
        <v>14271949</v>
      </c>
      <c r="H191" s="7">
        <v>733004746307</v>
      </c>
      <c r="I191" s="8" t="s">
        <v>3255</v>
      </c>
      <c r="J191" s="4">
        <v>1</v>
      </c>
      <c r="K191" s="9">
        <v>6.99</v>
      </c>
      <c r="L191" s="9">
        <v>6.99</v>
      </c>
      <c r="M191" s="4" t="s">
        <v>3187</v>
      </c>
      <c r="N191" s="4" t="s">
        <v>2565</v>
      </c>
      <c r="O191" s="4" t="s">
        <v>2566</v>
      </c>
      <c r="P191" s="4" t="s">
        <v>2503</v>
      </c>
      <c r="Q191" s="4" t="s">
        <v>2504</v>
      </c>
      <c r="R191" s="4"/>
      <c r="S191" s="4"/>
      <c r="T191" s="4" t="str">
        <f>HYPERLINK("http://slimages.macys.com/is/image/MCY/19977361 ")</f>
        <v xml:space="preserve">http://slimages.macys.com/is/image/MCY/19977361 </v>
      </c>
    </row>
    <row r="192" spans="1:20" ht="15" customHeight="1" x14ac:dyDescent="0.25">
      <c r="A192" s="4" t="s">
        <v>2489</v>
      </c>
      <c r="B192" s="2" t="s">
        <v>2487</v>
      </c>
      <c r="C192" s="2" t="s">
        <v>2488</v>
      </c>
      <c r="D192" s="5" t="s">
        <v>2490</v>
      </c>
      <c r="E192" s="4" t="s">
        <v>2491</v>
      </c>
      <c r="F192" s="6">
        <v>14271949</v>
      </c>
      <c r="G192" s="3">
        <v>14271949</v>
      </c>
      <c r="H192" s="7">
        <v>733004748516</v>
      </c>
      <c r="I192" s="8" t="s">
        <v>3321</v>
      </c>
      <c r="J192" s="4">
        <v>1</v>
      </c>
      <c r="K192" s="9">
        <v>7.99</v>
      </c>
      <c r="L192" s="9">
        <v>7.99</v>
      </c>
      <c r="M192" s="4" t="s">
        <v>2836</v>
      </c>
      <c r="N192" s="4" t="s">
        <v>2505</v>
      </c>
      <c r="O192" s="4" t="s">
        <v>2650</v>
      </c>
      <c r="P192" s="4" t="s">
        <v>2503</v>
      </c>
      <c r="Q192" s="4" t="s">
        <v>2504</v>
      </c>
      <c r="R192" s="4"/>
      <c r="S192" s="4"/>
      <c r="T192" s="4" t="str">
        <f>HYPERLINK("http://slimages.macys.com/is/image/MCY/19977345 ")</f>
        <v xml:space="preserve">http://slimages.macys.com/is/image/MCY/19977345 </v>
      </c>
    </row>
    <row r="193" spans="1:20" ht="15" customHeight="1" x14ac:dyDescent="0.25">
      <c r="A193" s="4" t="s">
        <v>2489</v>
      </c>
      <c r="B193" s="2" t="s">
        <v>2487</v>
      </c>
      <c r="C193" s="2" t="s">
        <v>2488</v>
      </c>
      <c r="D193" s="5" t="s">
        <v>2490</v>
      </c>
      <c r="E193" s="4" t="s">
        <v>2491</v>
      </c>
      <c r="F193" s="6">
        <v>14271949</v>
      </c>
      <c r="G193" s="3">
        <v>14271949</v>
      </c>
      <c r="H193" s="7">
        <v>733004738296</v>
      </c>
      <c r="I193" s="8" t="s">
        <v>2776</v>
      </c>
      <c r="J193" s="4">
        <v>1</v>
      </c>
      <c r="K193" s="9">
        <v>6.99</v>
      </c>
      <c r="L193" s="9">
        <v>6.99</v>
      </c>
      <c r="M193" s="4" t="s">
        <v>2777</v>
      </c>
      <c r="N193" s="4" t="s">
        <v>2638</v>
      </c>
      <c r="O193" s="4" t="s">
        <v>2502</v>
      </c>
      <c r="P193" s="4" t="s">
        <v>2503</v>
      </c>
      <c r="Q193" s="4" t="s">
        <v>2504</v>
      </c>
      <c r="R193" s="4"/>
      <c r="S193" s="4"/>
      <c r="T193" s="4" t="str">
        <f>HYPERLINK("http://slimages.macys.com/is/image/MCY/19983979 ")</f>
        <v xml:space="preserve">http://slimages.macys.com/is/image/MCY/19983979 </v>
      </c>
    </row>
    <row r="194" spans="1:20" ht="15" customHeight="1" x14ac:dyDescent="0.25">
      <c r="A194" s="4" t="s">
        <v>2489</v>
      </c>
      <c r="B194" s="2" t="s">
        <v>2487</v>
      </c>
      <c r="C194" s="2" t="s">
        <v>2488</v>
      </c>
      <c r="D194" s="5" t="s">
        <v>2490</v>
      </c>
      <c r="E194" s="4" t="s">
        <v>2491</v>
      </c>
      <c r="F194" s="6">
        <v>14271949</v>
      </c>
      <c r="G194" s="3">
        <v>14271949</v>
      </c>
      <c r="H194" s="7">
        <v>733004738289</v>
      </c>
      <c r="I194" s="8" t="s">
        <v>2895</v>
      </c>
      <c r="J194" s="4">
        <v>1</v>
      </c>
      <c r="K194" s="9">
        <v>6.99</v>
      </c>
      <c r="L194" s="9">
        <v>6.99</v>
      </c>
      <c r="M194" s="4" t="s">
        <v>2777</v>
      </c>
      <c r="N194" s="4" t="s">
        <v>2638</v>
      </c>
      <c r="O194" s="4" t="s">
        <v>2493</v>
      </c>
      <c r="P194" s="4" t="s">
        <v>2503</v>
      </c>
      <c r="Q194" s="4" t="s">
        <v>2504</v>
      </c>
      <c r="R194" s="4"/>
      <c r="S194" s="4"/>
      <c r="T194" s="4" t="str">
        <f>HYPERLINK("http://slimages.macys.com/is/image/MCY/19983979 ")</f>
        <v xml:space="preserve">http://slimages.macys.com/is/image/MCY/19983979 </v>
      </c>
    </row>
    <row r="195" spans="1:20" ht="15" customHeight="1" x14ac:dyDescent="0.25">
      <c r="A195" s="4" t="s">
        <v>2489</v>
      </c>
      <c r="B195" s="2" t="s">
        <v>2487</v>
      </c>
      <c r="C195" s="2" t="s">
        <v>2488</v>
      </c>
      <c r="D195" s="5" t="s">
        <v>2490</v>
      </c>
      <c r="E195" s="4" t="s">
        <v>2491</v>
      </c>
      <c r="F195" s="6">
        <v>14271949</v>
      </c>
      <c r="G195" s="3">
        <v>14271949</v>
      </c>
      <c r="H195" s="7">
        <v>762120160919</v>
      </c>
      <c r="I195" s="8" t="s">
        <v>1766</v>
      </c>
      <c r="J195" s="4">
        <v>1</v>
      </c>
      <c r="K195" s="9">
        <v>7.99</v>
      </c>
      <c r="L195" s="9">
        <v>7.99</v>
      </c>
      <c r="M195" s="4" t="s">
        <v>3425</v>
      </c>
      <c r="N195" s="4" t="s">
        <v>2731</v>
      </c>
      <c r="O195" s="4" t="s">
        <v>2629</v>
      </c>
      <c r="P195" s="4" t="s">
        <v>2602</v>
      </c>
      <c r="Q195" s="4" t="s">
        <v>2528</v>
      </c>
      <c r="R195" s="4"/>
      <c r="S195" s="4"/>
      <c r="T195" s="4" t="str">
        <f>HYPERLINK("http://slimages.macys.com/is/image/MCY/20819725 ")</f>
        <v xml:space="preserve">http://slimages.macys.com/is/image/MCY/20819725 </v>
      </c>
    </row>
    <row r="196" spans="1:20" ht="15" customHeight="1" x14ac:dyDescent="0.25">
      <c r="A196" s="4" t="s">
        <v>2489</v>
      </c>
      <c r="B196" s="2" t="s">
        <v>2487</v>
      </c>
      <c r="C196" s="2" t="s">
        <v>2488</v>
      </c>
      <c r="D196" s="5" t="s">
        <v>2490</v>
      </c>
      <c r="E196" s="4" t="s">
        <v>2491</v>
      </c>
      <c r="F196" s="6">
        <v>14271949</v>
      </c>
      <c r="G196" s="3">
        <v>14271949</v>
      </c>
      <c r="H196" s="7">
        <v>196027095089</v>
      </c>
      <c r="I196" s="8" t="s">
        <v>1530</v>
      </c>
      <c r="J196" s="4">
        <v>1</v>
      </c>
      <c r="K196" s="9">
        <v>25.99</v>
      </c>
      <c r="L196" s="9">
        <v>25.99</v>
      </c>
      <c r="M196" s="4" t="s">
        <v>2103</v>
      </c>
      <c r="N196" s="4" t="s">
        <v>2544</v>
      </c>
      <c r="O196" s="4" t="s">
        <v>2705</v>
      </c>
      <c r="P196" s="4" t="s">
        <v>2569</v>
      </c>
      <c r="Q196" s="4" t="s">
        <v>2755</v>
      </c>
      <c r="R196" s="4"/>
      <c r="S196" s="4"/>
      <c r="T196" s="4" t="str">
        <f>HYPERLINK("http://slimages.macys.com/is/image/MCY/20750287 ")</f>
        <v xml:space="preserve">http://slimages.macys.com/is/image/MCY/20750287 </v>
      </c>
    </row>
    <row r="197" spans="1:20" ht="15" customHeight="1" x14ac:dyDescent="0.25">
      <c r="A197" s="4" t="s">
        <v>2489</v>
      </c>
      <c r="B197" s="2" t="s">
        <v>2487</v>
      </c>
      <c r="C197" s="2" t="s">
        <v>2488</v>
      </c>
      <c r="D197" s="5" t="s">
        <v>2490</v>
      </c>
      <c r="E197" s="4" t="s">
        <v>2491</v>
      </c>
      <c r="F197" s="6">
        <v>14271949</v>
      </c>
      <c r="G197" s="3">
        <v>14271949</v>
      </c>
      <c r="H197" s="7">
        <v>195958112469</v>
      </c>
      <c r="I197" s="8" t="s">
        <v>1895</v>
      </c>
      <c r="J197" s="4">
        <v>2</v>
      </c>
      <c r="K197" s="9">
        <v>59.99</v>
      </c>
      <c r="L197" s="9">
        <v>119.98</v>
      </c>
      <c r="M197" s="4" t="s">
        <v>1863</v>
      </c>
      <c r="N197" s="4" t="s">
        <v>3018</v>
      </c>
      <c r="O197" s="4" t="s">
        <v>2587</v>
      </c>
      <c r="P197" s="4" t="s">
        <v>2550</v>
      </c>
      <c r="Q197" s="4" t="s">
        <v>2715</v>
      </c>
      <c r="R197" s="4"/>
      <c r="S197" s="4"/>
      <c r="T197" s="4" t="str">
        <f>HYPERLINK("http://slimages.macys.com/is/image/MCY/19786376 ")</f>
        <v xml:space="preserve">http://slimages.macys.com/is/image/MCY/19786376 </v>
      </c>
    </row>
    <row r="198" spans="1:20" ht="15" customHeight="1" x14ac:dyDescent="0.25">
      <c r="A198" s="4" t="s">
        <v>2489</v>
      </c>
      <c r="B198" s="2" t="s">
        <v>2487</v>
      </c>
      <c r="C198" s="2" t="s">
        <v>2488</v>
      </c>
      <c r="D198" s="5" t="s">
        <v>2490</v>
      </c>
      <c r="E198" s="4" t="s">
        <v>2491</v>
      </c>
      <c r="F198" s="6">
        <v>14271949</v>
      </c>
      <c r="G198" s="3">
        <v>14271949</v>
      </c>
      <c r="H198" s="7">
        <v>196027060049</v>
      </c>
      <c r="I198" s="8" t="s">
        <v>1767</v>
      </c>
      <c r="J198" s="4">
        <v>4</v>
      </c>
      <c r="K198" s="9">
        <v>27.99</v>
      </c>
      <c r="L198" s="9">
        <v>111.96</v>
      </c>
      <c r="M198" s="4" t="s">
        <v>1768</v>
      </c>
      <c r="N198" s="4" t="s">
        <v>2544</v>
      </c>
      <c r="O198" s="4">
        <v>6</v>
      </c>
      <c r="P198" s="4" t="s">
        <v>2569</v>
      </c>
      <c r="Q198" s="4" t="s">
        <v>2570</v>
      </c>
      <c r="R198" s="4"/>
      <c r="S198" s="4"/>
      <c r="T198" s="4" t="str">
        <f>HYPERLINK("http://slimages.macys.com/is/image/MCY/20662538 ")</f>
        <v xml:space="preserve">http://slimages.macys.com/is/image/MCY/20662538 </v>
      </c>
    </row>
    <row r="199" spans="1:20" ht="15" customHeight="1" x14ac:dyDescent="0.25">
      <c r="A199" s="4" t="s">
        <v>2489</v>
      </c>
      <c r="B199" s="2" t="s">
        <v>2487</v>
      </c>
      <c r="C199" s="2" t="s">
        <v>2488</v>
      </c>
      <c r="D199" s="5" t="s">
        <v>2490</v>
      </c>
      <c r="E199" s="4" t="s">
        <v>2491</v>
      </c>
      <c r="F199" s="6">
        <v>14271949</v>
      </c>
      <c r="G199" s="3">
        <v>14271949</v>
      </c>
      <c r="H199" s="7">
        <v>194257620804</v>
      </c>
      <c r="I199" s="8" t="s">
        <v>1769</v>
      </c>
      <c r="J199" s="4">
        <v>1</v>
      </c>
      <c r="K199" s="9">
        <v>17.989999999999998</v>
      </c>
      <c r="L199" s="9">
        <v>17.989999999999998</v>
      </c>
      <c r="M199" s="4" t="s">
        <v>3147</v>
      </c>
      <c r="N199" s="4" t="s">
        <v>2497</v>
      </c>
      <c r="O199" s="4" t="s">
        <v>2519</v>
      </c>
      <c r="P199" s="4" t="s">
        <v>2619</v>
      </c>
      <c r="Q199" s="4" t="s">
        <v>2500</v>
      </c>
      <c r="R199" s="4"/>
      <c r="S199" s="4"/>
      <c r="T199" s="4" t="str">
        <f>HYPERLINK("http://slimages.macys.com/is/image/MCY/19933283 ")</f>
        <v xml:space="preserve">http://slimages.macys.com/is/image/MCY/19933283 </v>
      </c>
    </row>
    <row r="200" spans="1:20" ht="15" customHeight="1" x14ac:dyDescent="0.25">
      <c r="A200" s="4" t="s">
        <v>2489</v>
      </c>
      <c r="B200" s="2" t="s">
        <v>2487</v>
      </c>
      <c r="C200" s="2" t="s">
        <v>2488</v>
      </c>
      <c r="D200" s="5" t="s">
        <v>2490</v>
      </c>
      <c r="E200" s="4" t="s">
        <v>2491</v>
      </c>
      <c r="F200" s="6">
        <v>14271949</v>
      </c>
      <c r="G200" s="3">
        <v>14271949</v>
      </c>
      <c r="H200" s="7">
        <v>190322119747</v>
      </c>
      <c r="I200" s="8" t="s">
        <v>2592</v>
      </c>
      <c r="J200" s="4">
        <v>1</v>
      </c>
      <c r="K200" s="9">
        <v>7.99</v>
      </c>
      <c r="L200" s="9">
        <v>7.99</v>
      </c>
      <c r="M200" s="4">
        <v>47427130</v>
      </c>
      <c r="N200" s="4" t="s">
        <v>2497</v>
      </c>
      <c r="O200" s="4" t="s">
        <v>2519</v>
      </c>
      <c r="P200" s="4" t="s">
        <v>2543</v>
      </c>
      <c r="Q200" s="4" t="s">
        <v>2528</v>
      </c>
      <c r="R200" s="4" t="s">
        <v>2552</v>
      </c>
      <c r="S200" s="4" t="s">
        <v>2593</v>
      </c>
      <c r="T200" s="4" t="str">
        <f>HYPERLINK("http://slimages.macys.com/is/image/MCY/12670179 ")</f>
        <v xml:space="preserve">http://slimages.macys.com/is/image/MCY/12670179 </v>
      </c>
    </row>
    <row r="201" spans="1:20" ht="15" customHeight="1" x14ac:dyDescent="0.25">
      <c r="A201" s="4" t="s">
        <v>2489</v>
      </c>
      <c r="B201" s="2" t="s">
        <v>2487</v>
      </c>
      <c r="C201" s="2" t="s">
        <v>2488</v>
      </c>
      <c r="D201" s="5" t="s">
        <v>2490</v>
      </c>
      <c r="E201" s="4" t="s">
        <v>2491</v>
      </c>
      <c r="F201" s="6">
        <v>14271949</v>
      </c>
      <c r="G201" s="3">
        <v>14271949</v>
      </c>
      <c r="H201" s="7">
        <v>194870451304</v>
      </c>
      <c r="I201" s="8" t="s">
        <v>1770</v>
      </c>
      <c r="J201" s="4">
        <v>1</v>
      </c>
      <c r="K201" s="9">
        <v>21.99</v>
      </c>
      <c r="L201" s="9">
        <v>21.99</v>
      </c>
      <c r="M201" s="4" t="s">
        <v>1771</v>
      </c>
      <c r="N201" s="4" t="s">
        <v>2497</v>
      </c>
      <c r="O201" s="4" t="s">
        <v>2532</v>
      </c>
      <c r="P201" s="4" t="s">
        <v>2499</v>
      </c>
      <c r="Q201" s="4" t="s">
        <v>2694</v>
      </c>
      <c r="R201" s="4"/>
      <c r="S201" s="4"/>
      <c r="T201" s="4" t="str">
        <f>HYPERLINK("http://slimages.macys.com/is/image/MCY/19606001 ")</f>
        <v xml:space="preserve">http://slimages.macys.com/is/image/MCY/19606001 </v>
      </c>
    </row>
    <row r="202" spans="1:20" ht="15" customHeight="1" x14ac:dyDescent="0.25">
      <c r="A202" s="4" t="s">
        <v>2489</v>
      </c>
      <c r="B202" s="2" t="s">
        <v>2487</v>
      </c>
      <c r="C202" s="2" t="s">
        <v>2488</v>
      </c>
      <c r="D202" s="5" t="s">
        <v>2490</v>
      </c>
      <c r="E202" s="4" t="s">
        <v>2491</v>
      </c>
      <c r="F202" s="6">
        <v>14271949</v>
      </c>
      <c r="G202" s="3">
        <v>14271949</v>
      </c>
      <c r="H202" s="7">
        <v>806409706273</v>
      </c>
      <c r="I202" s="8" t="s">
        <v>1578</v>
      </c>
      <c r="J202" s="4">
        <v>1</v>
      </c>
      <c r="K202" s="9">
        <v>20</v>
      </c>
      <c r="L202" s="9">
        <v>20</v>
      </c>
      <c r="M202" s="4" t="s">
        <v>1579</v>
      </c>
      <c r="N202" s="4" t="s">
        <v>2497</v>
      </c>
      <c r="O202" s="4" t="s">
        <v>2538</v>
      </c>
      <c r="P202" s="4" t="s">
        <v>2539</v>
      </c>
      <c r="Q202" s="4" t="s">
        <v>3208</v>
      </c>
      <c r="R202" s="4"/>
      <c r="S202" s="4"/>
      <c r="T202" s="4" t="str">
        <f>HYPERLINK("http://slimages.macys.com/is/image/MCY/20091874 ")</f>
        <v xml:space="preserve">http://slimages.macys.com/is/image/MCY/20091874 </v>
      </c>
    </row>
    <row r="203" spans="1:20" ht="15" customHeight="1" x14ac:dyDescent="0.25">
      <c r="A203" s="4" t="s">
        <v>2489</v>
      </c>
      <c r="B203" s="2" t="s">
        <v>2487</v>
      </c>
      <c r="C203" s="2" t="s">
        <v>2488</v>
      </c>
      <c r="D203" s="5" t="s">
        <v>2490</v>
      </c>
      <c r="E203" s="4" t="s">
        <v>2491</v>
      </c>
      <c r="F203" s="6">
        <v>14271949</v>
      </c>
      <c r="G203" s="3">
        <v>14271949</v>
      </c>
      <c r="H203" s="7">
        <v>194135724068</v>
      </c>
      <c r="I203" s="8" t="s">
        <v>1772</v>
      </c>
      <c r="J203" s="4">
        <v>1</v>
      </c>
      <c r="K203" s="9">
        <v>22.52</v>
      </c>
      <c r="L203" s="9">
        <v>22.52</v>
      </c>
      <c r="M203" s="4" t="s">
        <v>1571</v>
      </c>
      <c r="N203" s="4" t="s">
        <v>2596</v>
      </c>
      <c r="O203" s="4" t="s">
        <v>2607</v>
      </c>
      <c r="P203" s="4" t="s">
        <v>2494</v>
      </c>
      <c r="Q203" s="4" t="s">
        <v>2495</v>
      </c>
      <c r="R203" s="4"/>
      <c r="S203" s="4"/>
      <c r="T203" s="4" t="str">
        <f>HYPERLINK("http://slimages.macys.com/is/image/MCY/19974194 ")</f>
        <v xml:space="preserve">http://slimages.macys.com/is/image/MCY/19974194 </v>
      </c>
    </row>
    <row r="204" spans="1:20" ht="15" customHeight="1" x14ac:dyDescent="0.25">
      <c r="A204" s="4" t="s">
        <v>2489</v>
      </c>
      <c r="B204" s="2" t="s">
        <v>2487</v>
      </c>
      <c r="C204" s="2" t="s">
        <v>2488</v>
      </c>
      <c r="D204" s="5" t="s">
        <v>2490</v>
      </c>
      <c r="E204" s="4" t="s">
        <v>2491</v>
      </c>
      <c r="F204" s="6">
        <v>14271949</v>
      </c>
      <c r="G204" s="3">
        <v>14271949</v>
      </c>
      <c r="H204" s="7">
        <v>733003711344</v>
      </c>
      <c r="I204" s="8" t="s">
        <v>441</v>
      </c>
      <c r="J204" s="4">
        <v>1</v>
      </c>
      <c r="K204" s="9">
        <v>33.99</v>
      </c>
      <c r="L204" s="9">
        <v>33.99</v>
      </c>
      <c r="M204" s="4" t="s">
        <v>1668</v>
      </c>
      <c r="N204" s="4" t="s">
        <v>2561</v>
      </c>
      <c r="O204" s="4" t="s">
        <v>2559</v>
      </c>
      <c r="P204" s="4" t="s">
        <v>2503</v>
      </c>
      <c r="Q204" s="4" t="s">
        <v>2504</v>
      </c>
      <c r="R204" s="4"/>
      <c r="S204" s="4"/>
      <c r="T204" s="4" t="str">
        <f>HYPERLINK("http://slimages.macys.com/is/image/MCY/19589081 ")</f>
        <v xml:space="preserve">http://slimages.macys.com/is/image/MCY/19589081 </v>
      </c>
    </row>
    <row r="205" spans="1:20" ht="15" customHeight="1" x14ac:dyDescent="0.25">
      <c r="A205" s="4" t="s">
        <v>2489</v>
      </c>
      <c r="B205" s="2" t="s">
        <v>2487</v>
      </c>
      <c r="C205" s="2" t="s">
        <v>2488</v>
      </c>
      <c r="D205" s="5" t="s">
        <v>2490</v>
      </c>
      <c r="E205" s="4" t="s">
        <v>2491</v>
      </c>
      <c r="F205" s="6">
        <v>14271949</v>
      </c>
      <c r="G205" s="3">
        <v>14271949</v>
      </c>
      <c r="H205" s="7">
        <v>762120085441</v>
      </c>
      <c r="I205" s="8" t="s">
        <v>3215</v>
      </c>
      <c r="J205" s="4">
        <v>1</v>
      </c>
      <c r="K205" s="9">
        <v>7.99</v>
      </c>
      <c r="L205" s="9">
        <v>7.99</v>
      </c>
      <c r="M205" s="4" t="s">
        <v>2929</v>
      </c>
      <c r="N205" s="4"/>
      <c r="O205" s="4">
        <v>6</v>
      </c>
      <c r="P205" s="4" t="s">
        <v>2602</v>
      </c>
      <c r="Q205" s="4" t="s">
        <v>2528</v>
      </c>
      <c r="R205" s="4"/>
      <c r="S205" s="4"/>
      <c r="T205" s="4" t="str">
        <f>HYPERLINK("http://slimages.macys.com/is/image/MCY/20691811 ")</f>
        <v xml:space="preserve">http://slimages.macys.com/is/image/MCY/20691811 </v>
      </c>
    </row>
    <row r="206" spans="1:20" ht="15" customHeight="1" x14ac:dyDescent="0.25">
      <c r="A206" s="4" t="s">
        <v>2489</v>
      </c>
      <c r="B206" s="2" t="s">
        <v>2487</v>
      </c>
      <c r="C206" s="2" t="s">
        <v>2488</v>
      </c>
      <c r="D206" s="5" t="s">
        <v>2490</v>
      </c>
      <c r="E206" s="4" t="s">
        <v>2491</v>
      </c>
      <c r="F206" s="6">
        <v>14271949</v>
      </c>
      <c r="G206" s="3">
        <v>14271949</v>
      </c>
      <c r="H206" s="7">
        <v>733003804992</v>
      </c>
      <c r="I206" s="8" t="s">
        <v>1845</v>
      </c>
      <c r="J206" s="4">
        <v>1</v>
      </c>
      <c r="K206" s="9">
        <v>5.99</v>
      </c>
      <c r="L206" s="9">
        <v>5.99</v>
      </c>
      <c r="M206" s="4" t="s">
        <v>3232</v>
      </c>
      <c r="N206" s="4" t="s">
        <v>2682</v>
      </c>
      <c r="O206" s="4">
        <v>6</v>
      </c>
      <c r="P206" s="4" t="s">
        <v>2520</v>
      </c>
      <c r="Q206" s="4" t="s">
        <v>2528</v>
      </c>
      <c r="R206" s="4"/>
      <c r="S206" s="4"/>
      <c r="T206" s="4" t="str">
        <f>HYPERLINK("http://slimages.macys.com/is/image/MCY/19239511 ")</f>
        <v xml:space="preserve">http://slimages.macys.com/is/image/MCY/19239511 </v>
      </c>
    </row>
    <row r="207" spans="1:20" ht="15" customHeight="1" x14ac:dyDescent="0.25">
      <c r="A207" s="4" t="s">
        <v>2489</v>
      </c>
      <c r="B207" s="2" t="s">
        <v>2487</v>
      </c>
      <c r="C207" s="2" t="s">
        <v>2488</v>
      </c>
      <c r="D207" s="5" t="s">
        <v>2490</v>
      </c>
      <c r="E207" s="4" t="s">
        <v>2491</v>
      </c>
      <c r="F207" s="6">
        <v>14271949</v>
      </c>
      <c r="G207" s="3">
        <v>14271949</v>
      </c>
      <c r="H207" s="7">
        <v>195958076228</v>
      </c>
      <c r="I207" s="8" t="s">
        <v>442</v>
      </c>
      <c r="J207" s="4">
        <v>1</v>
      </c>
      <c r="K207" s="9">
        <v>24.99</v>
      </c>
      <c r="L207" s="9">
        <v>24.99</v>
      </c>
      <c r="M207" s="4" t="s">
        <v>1872</v>
      </c>
      <c r="N207" s="4" t="s">
        <v>2544</v>
      </c>
      <c r="O207" s="4" t="s">
        <v>2502</v>
      </c>
      <c r="P207" s="4" t="s">
        <v>2562</v>
      </c>
      <c r="Q207" s="4" t="s">
        <v>2715</v>
      </c>
      <c r="R207" s="4"/>
      <c r="S207" s="4"/>
      <c r="T207" s="4" t="str">
        <f>HYPERLINK("http://slimages.macys.com/is/image/MCY/20686822 ")</f>
        <v xml:space="preserve">http://slimages.macys.com/is/image/MCY/20686822 </v>
      </c>
    </row>
    <row r="208" spans="1:20" ht="15" customHeight="1" x14ac:dyDescent="0.25">
      <c r="A208" s="4" t="s">
        <v>2489</v>
      </c>
      <c r="B208" s="2" t="s">
        <v>2487</v>
      </c>
      <c r="C208" s="2" t="s">
        <v>2488</v>
      </c>
      <c r="D208" s="5" t="s">
        <v>2490</v>
      </c>
      <c r="E208" s="4" t="s">
        <v>2491</v>
      </c>
      <c r="F208" s="6">
        <v>14271949</v>
      </c>
      <c r="G208" s="3">
        <v>14271949</v>
      </c>
      <c r="H208" s="7">
        <v>194257616890</v>
      </c>
      <c r="I208" s="8" t="s">
        <v>1836</v>
      </c>
      <c r="J208" s="4">
        <v>2</v>
      </c>
      <c r="K208" s="9">
        <v>12.99</v>
      </c>
      <c r="L208" s="9">
        <v>25.98</v>
      </c>
      <c r="M208" s="4" t="s">
        <v>1837</v>
      </c>
      <c r="N208" s="4" t="s">
        <v>2561</v>
      </c>
      <c r="O208" s="4" t="s">
        <v>2498</v>
      </c>
      <c r="P208" s="4" t="s">
        <v>2619</v>
      </c>
      <c r="Q208" s="4" t="s">
        <v>2500</v>
      </c>
      <c r="R208" s="4"/>
      <c r="S208" s="4"/>
      <c r="T208" s="4"/>
    </row>
    <row r="209" spans="1:20" ht="15" customHeight="1" x14ac:dyDescent="0.25">
      <c r="A209" s="4" t="s">
        <v>2489</v>
      </c>
      <c r="B209" s="2" t="s">
        <v>2487</v>
      </c>
      <c r="C209" s="2" t="s">
        <v>2488</v>
      </c>
      <c r="D209" s="5" t="s">
        <v>2490</v>
      </c>
      <c r="E209" s="4" t="s">
        <v>2491</v>
      </c>
      <c r="F209" s="6">
        <v>14271949</v>
      </c>
      <c r="G209" s="3">
        <v>14271949</v>
      </c>
      <c r="H209" s="7">
        <v>194257424907</v>
      </c>
      <c r="I209" s="8" t="s">
        <v>443</v>
      </c>
      <c r="J209" s="4">
        <v>1</v>
      </c>
      <c r="K209" s="9">
        <v>17.989999999999998</v>
      </c>
      <c r="L209" s="9">
        <v>17.989999999999998</v>
      </c>
      <c r="M209" s="4" t="s">
        <v>1663</v>
      </c>
      <c r="N209" s="4" t="s">
        <v>2501</v>
      </c>
      <c r="O209" s="4" t="s">
        <v>2498</v>
      </c>
      <c r="P209" s="4" t="s">
        <v>2619</v>
      </c>
      <c r="Q209" s="4" t="s">
        <v>2500</v>
      </c>
      <c r="R209" s="4"/>
      <c r="S209" s="4"/>
      <c r="T209" s="4" t="str">
        <f>HYPERLINK("http://slimages.macys.com/is/image/MCY/19995334 ")</f>
        <v xml:space="preserve">http://slimages.macys.com/is/image/MCY/19995334 </v>
      </c>
    </row>
    <row r="210" spans="1:20" ht="15" customHeight="1" x14ac:dyDescent="0.25">
      <c r="A210" s="4" t="s">
        <v>2489</v>
      </c>
      <c r="B210" s="2" t="s">
        <v>2487</v>
      </c>
      <c r="C210" s="2" t="s">
        <v>2488</v>
      </c>
      <c r="D210" s="5" t="s">
        <v>2490</v>
      </c>
      <c r="E210" s="4" t="s">
        <v>2491</v>
      </c>
      <c r="F210" s="6">
        <v>14271949</v>
      </c>
      <c r="G210" s="3">
        <v>14271949</v>
      </c>
      <c r="H210" s="7">
        <v>733004759093</v>
      </c>
      <c r="I210" s="8" t="s">
        <v>2870</v>
      </c>
      <c r="J210" s="4">
        <v>1</v>
      </c>
      <c r="K210" s="9">
        <v>14.99</v>
      </c>
      <c r="L210" s="9">
        <v>14.99</v>
      </c>
      <c r="M210" s="4" t="s">
        <v>2871</v>
      </c>
      <c r="N210" s="4" t="s">
        <v>2561</v>
      </c>
      <c r="O210" s="4" t="s">
        <v>2671</v>
      </c>
      <c r="P210" s="4" t="s">
        <v>2515</v>
      </c>
      <c r="Q210" s="4" t="s">
        <v>2672</v>
      </c>
      <c r="R210" s="4"/>
      <c r="S210" s="4"/>
      <c r="T210" s="4" t="str">
        <f>HYPERLINK("http://slimages.macys.com/is/image/MCY/20530805 ")</f>
        <v xml:space="preserve">http://slimages.macys.com/is/image/MCY/20530805 </v>
      </c>
    </row>
    <row r="211" spans="1:20" ht="15" customHeight="1" x14ac:dyDescent="0.25">
      <c r="A211" s="4" t="s">
        <v>2489</v>
      </c>
      <c r="B211" s="2" t="s">
        <v>2487</v>
      </c>
      <c r="C211" s="2" t="s">
        <v>2488</v>
      </c>
      <c r="D211" s="5" t="s">
        <v>2490</v>
      </c>
      <c r="E211" s="4" t="s">
        <v>2491</v>
      </c>
      <c r="F211" s="6">
        <v>14271949</v>
      </c>
      <c r="G211" s="3">
        <v>14271949</v>
      </c>
      <c r="H211" s="7">
        <v>733004729898</v>
      </c>
      <c r="I211" s="8" t="s">
        <v>444</v>
      </c>
      <c r="J211" s="4">
        <v>1</v>
      </c>
      <c r="K211" s="9">
        <v>14.99</v>
      </c>
      <c r="L211" s="9">
        <v>14.99</v>
      </c>
      <c r="M211" s="4" t="s">
        <v>3284</v>
      </c>
      <c r="N211" s="4" t="s">
        <v>2571</v>
      </c>
      <c r="O211" s="4" t="s">
        <v>2555</v>
      </c>
      <c r="P211" s="4" t="s">
        <v>2520</v>
      </c>
      <c r="Q211" s="4" t="s">
        <v>2521</v>
      </c>
      <c r="R211" s="4"/>
      <c r="S211" s="4"/>
      <c r="T211" s="4" t="str">
        <f>HYPERLINK("http://slimages.macys.com/is/image/MCY/20433946 ")</f>
        <v xml:space="preserve">http://slimages.macys.com/is/image/MCY/20433946 </v>
      </c>
    </row>
    <row r="212" spans="1:20" ht="15" customHeight="1" x14ac:dyDescent="0.25">
      <c r="A212" s="4" t="s">
        <v>2489</v>
      </c>
      <c r="B212" s="2" t="s">
        <v>2487</v>
      </c>
      <c r="C212" s="2" t="s">
        <v>2488</v>
      </c>
      <c r="D212" s="5" t="s">
        <v>2490</v>
      </c>
      <c r="E212" s="4" t="s">
        <v>2491</v>
      </c>
      <c r="F212" s="6">
        <v>14271949</v>
      </c>
      <c r="G212" s="3">
        <v>14271949</v>
      </c>
      <c r="H212" s="7">
        <v>194257261519</v>
      </c>
      <c r="I212" s="8" t="s">
        <v>3441</v>
      </c>
      <c r="J212" s="4">
        <v>1</v>
      </c>
      <c r="K212" s="9">
        <v>8.99</v>
      </c>
      <c r="L212" s="9">
        <v>8.99</v>
      </c>
      <c r="M212" s="4" t="s">
        <v>3442</v>
      </c>
      <c r="N212" s="4" t="s">
        <v>2523</v>
      </c>
      <c r="O212" s="4" t="s">
        <v>2705</v>
      </c>
      <c r="P212" s="4" t="s">
        <v>2499</v>
      </c>
      <c r="Q212" s="4" t="s">
        <v>2525</v>
      </c>
      <c r="R212" s="4"/>
      <c r="S212" s="4"/>
      <c r="T212" s="4" t="str">
        <f>HYPERLINK("http://slimages.macys.com/is/image/MCY/18664018 ")</f>
        <v xml:space="preserve">http://slimages.macys.com/is/image/MCY/18664018 </v>
      </c>
    </row>
    <row r="213" spans="1:20" ht="15" customHeight="1" x14ac:dyDescent="0.25">
      <c r="A213" s="4" t="s">
        <v>2489</v>
      </c>
      <c r="B213" s="2" t="s">
        <v>2487</v>
      </c>
      <c r="C213" s="2" t="s">
        <v>2488</v>
      </c>
      <c r="D213" s="5" t="s">
        <v>2490</v>
      </c>
      <c r="E213" s="4" t="s">
        <v>2491</v>
      </c>
      <c r="F213" s="6">
        <v>14271949</v>
      </c>
      <c r="G213" s="3">
        <v>14271949</v>
      </c>
      <c r="H213" s="7">
        <v>194870485033</v>
      </c>
      <c r="I213" s="8" t="s">
        <v>445</v>
      </c>
      <c r="J213" s="4">
        <v>1</v>
      </c>
      <c r="K213" s="9">
        <v>29.99</v>
      </c>
      <c r="L213" s="9">
        <v>29.99</v>
      </c>
      <c r="M213" s="4" t="s">
        <v>446</v>
      </c>
      <c r="N213" s="4" t="s">
        <v>2804</v>
      </c>
      <c r="O213" s="4" t="s">
        <v>2502</v>
      </c>
      <c r="P213" s="4" t="s">
        <v>2740</v>
      </c>
      <c r="Q213" s="4" t="s">
        <v>2881</v>
      </c>
      <c r="R213" s="4"/>
      <c r="S213" s="4"/>
      <c r="T213" s="4" t="str">
        <f>HYPERLINK("http://slimages.macys.com/is/image/MCY/19525061 ")</f>
        <v xml:space="preserve">http://slimages.macys.com/is/image/MCY/19525061 </v>
      </c>
    </row>
    <row r="214" spans="1:20" ht="15" customHeight="1" x14ac:dyDescent="0.25">
      <c r="A214" s="4" t="s">
        <v>2489</v>
      </c>
      <c r="B214" s="2" t="s">
        <v>2487</v>
      </c>
      <c r="C214" s="2" t="s">
        <v>2488</v>
      </c>
      <c r="D214" s="5" t="s">
        <v>2490</v>
      </c>
      <c r="E214" s="4" t="s">
        <v>2491</v>
      </c>
      <c r="F214" s="6">
        <v>14271949</v>
      </c>
      <c r="G214" s="3">
        <v>14271949</v>
      </c>
      <c r="H214" s="7">
        <v>195883273853</v>
      </c>
      <c r="I214" s="8" t="s">
        <v>447</v>
      </c>
      <c r="J214" s="4">
        <v>1</v>
      </c>
      <c r="K214" s="9">
        <v>10.99</v>
      </c>
      <c r="L214" s="9">
        <v>10.99</v>
      </c>
      <c r="M214" s="4" t="s">
        <v>448</v>
      </c>
      <c r="N214" s="4" t="s">
        <v>2523</v>
      </c>
      <c r="O214" s="4" t="s">
        <v>2524</v>
      </c>
      <c r="P214" s="4" t="s">
        <v>2536</v>
      </c>
      <c r="Q214" s="4" t="s">
        <v>2944</v>
      </c>
      <c r="R214" s="4"/>
      <c r="S214" s="4"/>
      <c r="T214" s="4" t="str">
        <f>HYPERLINK("http://slimages.macys.com/is/image/MCY/19856673 ")</f>
        <v xml:space="preserve">http://slimages.macys.com/is/image/MCY/19856673 </v>
      </c>
    </row>
    <row r="215" spans="1:20" ht="15" customHeight="1" x14ac:dyDescent="0.25">
      <c r="A215" s="4" t="s">
        <v>2489</v>
      </c>
      <c r="B215" s="2" t="s">
        <v>2487</v>
      </c>
      <c r="C215" s="2" t="s">
        <v>2488</v>
      </c>
      <c r="D215" s="5" t="s">
        <v>2490</v>
      </c>
      <c r="E215" s="4" t="s">
        <v>2491</v>
      </c>
      <c r="F215" s="6">
        <v>14271949</v>
      </c>
      <c r="G215" s="3">
        <v>14271949</v>
      </c>
      <c r="H215" s="7">
        <v>195958076211</v>
      </c>
      <c r="I215" s="8" t="s">
        <v>449</v>
      </c>
      <c r="J215" s="4">
        <v>1</v>
      </c>
      <c r="K215" s="9">
        <v>24.99</v>
      </c>
      <c r="L215" s="9">
        <v>24.99</v>
      </c>
      <c r="M215" s="4" t="s">
        <v>1872</v>
      </c>
      <c r="N215" s="4" t="s">
        <v>2544</v>
      </c>
      <c r="O215" s="4" t="s">
        <v>2493</v>
      </c>
      <c r="P215" s="4" t="s">
        <v>2562</v>
      </c>
      <c r="Q215" s="4" t="s">
        <v>2715</v>
      </c>
      <c r="R215" s="4"/>
      <c r="S215" s="4"/>
      <c r="T215" s="4" t="str">
        <f>HYPERLINK("http://slimages.macys.com/is/image/MCY/20686822 ")</f>
        <v xml:space="preserve">http://slimages.macys.com/is/image/MCY/20686822 </v>
      </c>
    </row>
    <row r="216" spans="1:20" ht="15" customHeight="1" x14ac:dyDescent="0.25">
      <c r="A216" s="4" t="s">
        <v>2489</v>
      </c>
      <c r="B216" s="2" t="s">
        <v>2487</v>
      </c>
      <c r="C216" s="2" t="s">
        <v>2488</v>
      </c>
      <c r="D216" s="5" t="s">
        <v>2490</v>
      </c>
      <c r="E216" s="4" t="s">
        <v>2491</v>
      </c>
      <c r="F216" s="6">
        <v>14271949</v>
      </c>
      <c r="G216" s="3">
        <v>14271949</v>
      </c>
      <c r="H216" s="7">
        <v>195883817613</v>
      </c>
      <c r="I216" s="8" t="s">
        <v>450</v>
      </c>
      <c r="J216" s="4">
        <v>1</v>
      </c>
      <c r="K216" s="9">
        <v>18.989999999999998</v>
      </c>
      <c r="L216" s="9">
        <v>18.989999999999998</v>
      </c>
      <c r="M216" s="4" t="s">
        <v>451</v>
      </c>
      <c r="N216" s="4" t="s">
        <v>2501</v>
      </c>
      <c r="O216" s="4">
        <v>5</v>
      </c>
      <c r="P216" s="4" t="s">
        <v>2536</v>
      </c>
      <c r="Q216" s="4" t="s">
        <v>2944</v>
      </c>
      <c r="R216" s="4"/>
      <c r="S216" s="4"/>
      <c r="T216" s="4"/>
    </row>
    <row r="217" spans="1:20" ht="15" customHeight="1" x14ac:dyDescent="0.25">
      <c r="A217" s="4" t="s">
        <v>2489</v>
      </c>
      <c r="B217" s="2" t="s">
        <v>2487</v>
      </c>
      <c r="C217" s="2" t="s">
        <v>2488</v>
      </c>
      <c r="D217" s="5" t="s">
        <v>2490</v>
      </c>
      <c r="E217" s="4" t="s">
        <v>2491</v>
      </c>
      <c r="F217" s="6">
        <v>14271949</v>
      </c>
      <c r="G217" s="3">
        <v>14271949</v>
      </c>
      <c r="H217" s="7">
        <v>194135461574</v>
      </c>
      <c r="I217" s="8" t="s">
        <v>1297</v>
      </c>
      <c r="J217" s="4">
        <v>1</v>
      </c>
      <c r="K217" s="9">
        <v>10.41</v>
      </c>
      <c r="L217" s="9">
        <v>10.41</v>
      </c>
      <c r="M217" s="4" t="s">
        <v>3152</v>
      </c>
      <c r="N217" s="4"/>
      <c r="O217" s="4" t="s">
        <v>2705</v>
      </c>
      <c r="P217" s="4" t="s">
        <v>2657</v>
      </c>
      <c r="Q217" s="4" t="s">
        <v>2658</v>
      </c>
      <c r="R217" s="4"/>
      <c r="S217" s="4"/>
      <c r="T217" s="4" t="str">
        <f>HYPERLINK("http://slimages.macys.com/is/image/MCY/19858123 ")</f>
        <v xml:space="preserve">http://slimages.macys.com/is/image/MCY/19858123 </v>
      </c>
    </row>
    <row r="218" spans="1:20" ht="15" customHeight="1" x14ac:dyDescent="0.25">
      <c r="A218" s="4" t="s">
        <v>2489</v>
      </c>
      <c r="B218" s="2" t="s">
        <v>2487</v>
      </c>
      <c r="C218" s="2" t="s">
        <v>2488</v>
      </c>
      <c r="D218" s="5" t="s">
        <v>2490</v>
      </c>
      <c r="E218" s="4" t="s">
        <v>2491</v>
      </c>
      <c r="F218" s="6">
        <v>14271949</v>
      </c>
      <c r="G218" s="3">
        <v>14271949</v>
      </c>
      <c r="H218" s="7">
        <v>733004780257</v>
      </c>
      <c r="I218" s="8" t="s">
        <v>2689</v>
      </c>
      <c r="J218" s="4">
        <v>1</v>
      </c>
      <c r="K218" s="9">
        <v>7.99</v>
      </c>
      <c r="L218" s="9">
        <v>7.99</v>
      </c>
      <c r="M218" s="4" t="s">
        <v>2690</v>
      </c>
      <c r="N218" s="4" t="s">
        <v>2638</v>
      </c>
      <c r="O218" s="4" t="s">
        <v>2650</v>
      </c>
      <c r="P218" s="4" t="s">
        <v>2602</v>
      </c>
      <c r="Q218" s="4" t="s">
        <v>2528</v>
      </c>
      <c r="R218" s="4"/>
      <c r="S218" s="4"/>
      <c r="T218" s="4" t="str">
        <f>HYPERLINK("http://slimages.macys.com/is/image/MCY/20450170 ")</f>
        <v xml:space="preserve">http://slimages.macys.com/is/image/MCY/20450170 </v>
      </c>
    </row>
    <row r="219" spans="1:20" ht="15" customHeight="1" x14ac:dyDescent="0.25">
      <c r="A219" s="4" t="s">
        <v>2489</v>
      </c>
      <c r="B219" s="2" t="s">
        <v>2487</v>
      </c>
      <c r="C219" s="2" t="s">
        <v>2488</v>
      </c>
      <c r="D219" s="5" t="s">
        <v>2490</v>
      </c>
      <c r="E219" s="4" t="s">
        <v>2491</v>
      </c>
      <c r="F219" s="6">
        <v>14271949</v>
      </c>
      <c r="G219" s="3">
        <v>14271949</v>
      </c>
      <c r="H219" s="7">
        <v>733003926915</v>
      </c>
      <c r="I219" s="8" t="s">
        <v>452</v>
      </c>
      <c r="J219" s="4">
        <v>2</v>
      </c>
      <c r="K219" s="9">
        <v>5.99</v>
      </c>
      <c r="L219" s="9">
        <v>11.98</v>
      </c>
      <c r="M219" s="4" t="s">
        <v>1227</v>
      </c>
      <c r="N219" s="4" t="s">
        <v>2682</v>
      </c>
      <c r="O219" s="4" t="s">
        <v>2502</v>
      </c>
      <c r="P219" s="4" t="s">
        <v>2503</v>
      </c>
      <c r="Q219" s="4" t="s">
        <v>2504</v>
      </c>
      <c r="R219" s="4"/>
      <c r="S219" s="4"/>
      <c r="T219" s="4" t="str">
        <f>HYPERLINK("http://slimages.macys.com/is/image/MCY/903950 ")</f>
        <v xml:space="preserve">http://slimages.macys.com/is/image/MCY/903950 </v>
      </c>
    </row>
    <row r="220" spans="1:20" ht="15" customHeight="1" x14ac:dyDescent="0.25">
      <c r="A220" s="4" t="s">
        <v>2489</v>
      </c>
      <c r="B220" s="2" t="s">
        <v>2487</v>
      </c>
      <c r="C220" s="2" t="s">
        <v>2488</v>
      </c>
      <c r="D220" s="5" t="s">
        <v>2490</v>
      </c>
      <c r="E220" s="4" t="s">
        <v>2491</v>
      </c>
      <c r="F220" s="6">
        <v>14271949</v>
      </c>
      <c r="G220" s="3">
        <v>14271949</v>
      </c>
      <c r="H220" s="7">
        <v>733003924287</v>
      </c>
      <c r="I220" s="8" t="s">
        <v>453</v>
      </c>
      <c r="J220" s="4">
        <v>1</v>
      </c>
      <c r="K220" s="9">
        <v>6.99</v>
      </c>
      <c r="L220" s="9">
        <v>6.99</v>
      </c>
      <c r="M220" s="4" t="s">
        <v>2786</v>
      </c>
      <c r="N220" s="4" t="s">
        <v>2638</v>
      </c>
      <c r="O220" s="4" t="s">
        <v>2559</v>
      </c>
      <c r="P220" s="4" t="s">
        <v>2503</v>
      </c>
      <c r="Q220" s="4" t="s">
        <v>2504</v>
      </c>
      <c r="R220" s="4"/>
      <c r="S220" s="4"/>
      <c r="T220" s="4" t="str">
        <f>HYPERLINK("http://slimages.macys.com/is/image/MCY/19507928 ")</f>
        <v xml:space="preserve">http://slimages.macys.com/is/image/MCY/19507928 </v>
      </c>
    </row>
    <row r="221" spans="1:20" ht="15" customHeight="1" x14ac:dyDescent="0.25">
      <c r="A221" s="4" t="s">
        <v>2489</v>
      </c>
      <c r="B221" s="2" t="s">
        <v>2487</v>
      </c>
      <c r="C221" s="2" t="s">
        <v>2488</v>
      </c>
      <c r="D221" s="5" t="s">
        <v>2490</v>
      </c>
      <c r="E221" s="4" t="s">
        <v>2491</v>
      </c>
      <c r="F221" s="6">
        <v>14271949</v>
      </c>
      <c r="G221" s="3">
        <v>14271949</v>
      </c>
      <c r="H221" s="7">
        <v>733003926694</v>
      </c>
      <c r="I221" s="8" t="s">
        <v>3236</v>
      </c>
      <c r="J221" s="4">
        <v>2</v>
      </c>
      <c r="K221" s="9">
        <v>6.99</v>
      </c>
      <c r="L221" s="9">
        <v>13.98</v>
      </c>
      <c r="M221" s="4" t="s">
        <v>2941</v>
      </c>
      <c r="N221" s="4" t="s">
        <v>2682</v>
      </c>
      <c r="O221" s="4" t="s">
        <v>2566</v>
      </c>
      <c r="P221" s="4" t="s">
        <v>2503</v>
      </c>
      <c r="Q221" s="4" t="s">
        <v>2504</v>
      </c>
      <c r="R221" s="4"/>
      <c r="S221" s="4"/>
      <c r="T221" s="4" t="str">
        <f>HYPERLINK("http://slimages.macys.com/is/image/MCY/19507809 ")</f>
        <v xml:space="preserve">http://slimages.macys.com/is/image/MCY/19507809 </v>
      </c>
    </row>
    <row r="222" spans="1:20" ht="15" customHeight="1" x14ac:dyDescent="0.25">
      <c r="A222" s="4" t="s">
        <v>2489</v>
      </c>
      <c r="B222" s="2" t="s">
        <v>2487</v>
      </c>
      <c r="C222" s="2" t="s">
        <v>2488</v>
      </c>
      <c r="D222" s="5" t="s">
        <v>2490</v>
      </c>
      <c r="E222" s="4" t="s">
        <v>2491</v>
      </c>
      <c r="F222" s="6">
        <v>14271949</v>
      </c>
      <c r="G222" s="3">
        <v>14271949</v>
      </c>
      <c r="H222" s="7">
        <v>733003926885</v>
      </c>
      <c r="I222" s="8" t="s">
        <v>1228</v>
      </c>
      <c r="J222" s="4">
        <v>2</v>
      </c>
      <c r="K222" s="9">
        <v>5.99</v>
      </c>
      <c r="L222" s="9">
        <v>11.98</v>
      </c>
      <c r="M222" s="4" t="s">
        <v>1227</v>
      </c>
      <c r="N222" s="4" t="s">
        <v>2682</v>
      </c>
      <c r="O222" s="4" t="s">
        <v>2601</v>
      </c>
      <c r="P222" s="4" t="s">
        <v>2503</v>
      </c>
      <c r="Q222" s="4" t="s">
        <v>2504</v>
      </c>
      <c r="R222" s="4"/>
      <c r="S222" s="4"/>
      <c r="T222" s="4" t="str">
        <f>HYPERLINK("http://slimages.macys.com/is/image/MCY/903950 ")</f>
        <v xml:space="preserve">http://slimages.macys.com/is/image/MCY/903950 </v>
      </c>
    </row>
    <row r="223" spans="1:20" ht="15" customHeight="1" x14ac:dyDescent="0.25">
      <c r="A223" s="4" t="s">
        <v>2489</v>
      </c>
      <c r="B223" s="2" t="s">
        <v>2487</v>
      </c>
      <c r="C223" s="2" t="s">
        <v>2488</v>
      </c>
      <c r="D223" s="5" t="s">
        <v>2490</v>
      </c>
      <c r="E223" s="4" t="s">
        <v>2491</v>
      </c>
      <c r="F223" s="6">
        <v>14271949</v>
      </c>
      <c r="G223" s="3">
        <v>14271949</v>
      </c>
      <c r="H223" s="7">
        <v>196027072950</v>
      </c>
      <c r="I223" s="8" t="s">
        <v>454</v>
      </c>
      <c r="J223" s="4">
        <v>1</v>
      </c>
      <c r="K223" s="9">
        <v>19.989999999999998</v>
      </c>
      <c r="L223" s="9">
        <v>19.989999999999998</v>
      </c>
      <c r="M223" s="4" t="s">
        <v>455</v>
      </c>
      <c r="N223" s="4" t="s">
        <v>2544</v>
      </c>
      <c r="O223" s="4">
        <v>6</v>
      </c>
      <c r="P223" s="4" t="s">
        <v>2569</v>
      </c>
      <c r="Q223" s="4" t="s">
        <v>2590</v>
      </c>
      <c r="R223" s="4"/>
      <c r="S223" s="4"/>
      <c r="T223" s="4" t="str">
        <f>HYPERLINK("http://slimages.macys.com/is/image/MCY/20662578 ")</f>
        <v xml:space="preserve">http://slimages.macys.com/is/image/MCY/20662578 </v>
      </c>
    </row>
    <row r="224" spans="1:20" ht="15" customHeight="1" x14ac:dyDescent="0.25">
      <c r="A224" s="4" t="s">
        <v>2489</v>
      </c>
      <c r="B224" s="2" t="s">
        <v>2487</v>
      </c>
      <c r="C224" s="2" t="s">
        <v>2488</v>
      </c>
      <c r="D224" s="5" t="s">
        <v>2490</v>
      </c>
      <c r="E224" s="4" t="s">
        <v>2491</v>
      </c>
      <c r="F224" s="6">
        <v>14271949</v>
      </c>
      <c r="G224" s="3">
        <v>14271949</v>
      </c>
      <c r="H224" s="7">
        <v>194870823088</v>
      </c>
      <c r="I224" s="8" t="s">
        <v>2954</v>
      </c>
      <c r="J224" s="4">
        <v>1</v>
      </c>
      <c r="K224" s="9">
        <v>29.99</v>
      </c>
      <c r="L224" s="9">
        <v>29.99</v>
      </c>
      <c r="M224" s="4" t="s">
        <v>2955</v>
      </c>
      <c r="N224" s="4" t="s">
        <v>2526</v>
      </c>
      <c r="O224" s="4" t="s">
        <v>2502</v>
      </c>
      <c r="P224" s="4" t="s">
        <v>2740</v>
      </c>
      <c r="Q224" s="4" t="s">
        <v>2881</v>
      </c>
      <c r="R224" s="4"/>
      <c r="S224" s="4"/>
      <c r="T224" s="4" t="str">
        <f>HYPERLINK("http://slimages.macys.com/is/image/MCY/20074246 ")</f>
        <v xml:space="preserve">http://slimages.macys.com/is/image/MCY/20074246 </v>
      </c>
    </row>
    <row r="225" spans="1:20" ht="15" customHeight="1" x14ac:dyDescent="0.25">
      <c r="A225" s="4" t="s">
        <v>2489</v>
      </c>
      <c r="B225" s="2" t="s">
        <v>2487</v>
      </c>
      <c r="C225" s="2" t="s">
        <v>2488</v>
      </c>
      <c r="D225" s="5" t="s">
        <v>2490</v>
      </c>
      <c r="E225" s="4" t="s">
        <v>2491</v>
      </c>
      <c r="F225" s="6">
        <v>14271949</v>
      </c>
      <c r="G225" s="3">
        <v>14271949</v>
      </c>
      <c r="H225" s="7">
        <v>733004920295</v>
      </c>
      <c r="I225" s="8" t="s">
        <v>2295</v>
      </c>
      <c r="J225" s="4">
        <v>3</v>
      </c>
      <c r="K225" s="9">
        <v>7.99</v>
      </c>
      <c r="L225" s="9">
        <v>23.97</v>
      </c>
      <c r="M225" s="4" t="s">
        <v>2296</v>
      </c>
      <c r="N225" s="4" t="s">
        <v>2565</v>
      </c>
      <c r="O225" s="4" t="s">
        <v>2629</v>
      </c>
      <c r="P225" s="4" t="s">
        <v>2503</v>
      </c>
      <c r="Q225" s="4" t="s">
        <v>2504</v>
      </c>
      <c r="R225" s="4"/>
      <c r="S225" s="4"/>
      <c r="T225" s="4" t="str">
        <f>HYPERLINK("http://slimages.macys.com/is/image/MCY/19977735 ")</f>
        <v xml:space="preserve">http://slimages.macys.com/is/image/MCY/19977735 </v>
      </c>
    </row>
    <row r="226" spans="1:20" ht="15" customHeight="1" x14ac:dyDescent="0.25">
      <c r="A226" s="4" t="s">
        <v>2489</v>
      </c>
      <c r="B226" s="2" t="s">
        <v>2487</v>
      </c>
      <c r="C226" s="2" t="s">
        <v>2488</v>
      </c>
      <c r="D226" s="5" t="s">
        <v>2490</v>
      </c>
      <c r="E226" s="4" t="s">
        <v>2491</v>
      </c>
      <c r="F226" s="6">
        <v>14271949</v>
      </c>
      <c r="G226" s="3">
        <v>14271949</v>
      </c>
      <c r="H226" s="7">
        <v>733004782695</v>
      </c>
      <c r="I226" s="8" t="s">
        <v>456</v>
      </c>
      <c r="J226" s="4">
        <v>1</v>
      </c>
      <c r="K226" s="9">
        <v>7.99</v>
      </c>
      <c r="L226" s="9">
        <v>7.99</v>
      </c>
      <c r="M226" s="4" t="s">
        <v>1503</v>
      </c>
      <c r="N226" s="4" t="s">
        <v>2561</v>
      </c>
      <c r="O226" s="4" t="s">
        <v>2628</v>
      </c>
      <c r="P226" s="4" t="s">
        <v>2602</v>
      </c>
      <c r="Q226" s="4" t="s">
        <v>2528</v>
      </c>
      <c r="R226" s="4"/>
      <c r="S226" s="4"/>
      <c r="T226" s="4" t="str">
        <f>HYPERLINK("http://slimages.macys.com/is/image/MCY/20450191 ")</f>
        <v xml:space="preserve">http://slimages.macys.com/is/image/MCY/20450191 </v>
      </c>
    </row>
    <row r="227" spans="1:20" ht="15" customHeight="1" x14ac:dyDescent="0.25">
      <c r="A227" s="4" t="s">
        <v>2489</v>
      </c>
      <c r="B227" s="2" t="s">
        <v>2487</v>
      </c>
      <c r="C227" s="2" t="s">
        <v>2488</v>
      </c>
      <c r="D227" s="5" t="s">
        <v>2490</v>
      </c>
      <c r="E227" s="4" t="s">
        <v>2491</v>
      </c>
      <c r="F227" s="6">
        <v>14271949</v>
      </c>
      <c r="G227" s="3">
        <v>14271949</v>
      </c>
      <c r="H227" s="7">
        <v>733004591822</v>
      </c>
      <c r="I227" s="8" t="s">
        <v>2843</v>
      </c>
      <c r="J227" s="4">
        <v>1</v>
      </c>
      <c r="K227" s="9">
        <v>17.989999999999998</v>
      </c>
      <c r="L227" s="9">
        <v>17.989999999999998</v>
      </c>
      <c r="M227" s="4">
        <v>10013097300</v>
      </c>
      <c r="N227" s="4" t="s">
        <v>2600</v>
      </c>
      <c r="O227" s="4" t="s">
        <v>2831</v>
      </c>
      <c r="P227" s="4" t="s">
        <v>2503</v>
      </c>
      <c r="Q227" s="4" t="s">
        <v>2504</v>
      </c>
      <c r="R227" s="4"/>
      <c r="S227" s="4"/>
      <c r="T227" s="4" t="str">
        <f>HYPERLINK("http://slimages.macys.com/is/image/MCY/19755903 ")</f>
        <v xml:space="preserve">http://slimages.macys.com/is/image/MCY/19755903 </v>
      </c>
    </row>
    <row r="228" spans="1:20" ht="15" customHeight="1" x14ac:dyDescent="0.25">
      <c r="A228" s="4" t="s">
        <v>2489</v>
      </c>
      <c r="B228" s="2" t="s">
        <v>2487</v>
      </c>
      <c r="C228" s="2" t="s">
        <v>2488</v>
      </c>
      <c r="D228" s="5" t="s">
        <v>2490</v>
      </c>
      <c r="E228" s="4" t="s">
        <v>2491</v>
      </c>
      <c r="F228" s="6">
        <v>14271949</v>
      </c>
      <c r="G228" s="3">
        <v>14271949</v>
      </c>
      <c r="H228" s="7">
        <v>762120085359</v>
      </c>
      <c r="I228" s="8" t="s">
        <v>457</v>
      </c>
      <c r="J228" s="4">
        <v>1</v>
      </c>
      <c r="K228" s="9">
        <v>7.99</v>
      </c>
      <c r="L228" s="9">
        <v>7.99</v>
      </c>
      <c r="M228" s="4" t="s">
        <v>1560</v>
      </c>
      <c r="N228" s="4" t="s">
        <v>2530</v>
      </c>
      <c r="O228" s="4" t="s">
        <v>2650</v>
      </c>
      <c r="P228" s="4" t="s">
        <v>2602</v>
      </c>
      <c r="Q228" s="4" t="s">
        <v>2528</v>
      </c>
      <c r="R228" s="4"/>
      <c r="S228" s="4"/>
      <c r="T228" s="4" t="str">
        <f>HYPERLINK("http://slimages.macys.com/is/image/MCY/1122580 ")</f>
        <v xml:space="preserve">http://slimages.macys.com/is/image/MCY/1122580 </v>
      </c>
    </row>
    <row r="229" spans="1:20" ht="15" customHeight="1" x14ac:dyDescent="0.25">
      <c r="A229" s="4" t="s">
        <v>2489</v>
      </c>
      <c r="B229" s="2" t="s">
        <v>2487</v>
      </c>
      <c r="C229" s="2" t="s">
        <v>2488</v>
      </c>
      <c r="D229" s="5" t="s">
        <v>2490</v>
      </c>
      <c r="E229" s="4" t="s">
        <v>2491</v>
      </c>
      <c r="F229" s="6">
        <v>14271949</v>
      </c>
      <c r="G229" s="3">
        <v>14271949</v>
      </c>
      <c r="H229" s="7">
        <v>733004746314</v>
      </c>
      <c r="I229" s="8" t="s">
        <v>458</v>
      </c>
      <c r="J229" s="4">
        <v>2</v>
      </c>
      <c r="K229" s="9">
        <v>6.99</v>
      </c>
      <c r="L229" s="9">
        <v>13.98</v>
      </c>
      <c r="M229" s="4" t="s">
        <v>3187</v>
      </c>
      <c r="N229" s="4" t="s">
        <v>2565</v>
      </c>
      <c r="O229" s="4" t="s">
        <v>2493</v>
      </c>
      <c r="P229" s="4" t="s">
        <v>2503</v>
      </c>
      <c r="Q229" s="4" t="s">
        <v>2504</v>
      </c>
      <c r="R229" s="4"/>
      <c r="S229" s="4"/>
      <c r="T229" s="4" t="str">
        <f>HYPERLINK("http://slimages.macys.com/is/image/MCY/19977361 ")</f>
        <v xml:space="preserve">http://slimages.macys.com/is/image/MCY/19977361 </v>
      </c>
    </row>
    <row r="230" spans="1:20" ht="15" customHeight="1" x14ac:dyDescent="0.25">
      <c r="A230" s="4" t="s">
        <v>2489</v>
      </c>
      <c r="B230" s="2" t="s">
        <v>2487</v>
      </c>
      <c r="C230" s="2" t="s">
        <v>2488</v>
      </c>
      <c r="D230" s="5" t="s">
        <v>2490</v>
      </c>
      <c r="E230" s="4" t="s">
        <v>2491</v>
      </c>
      <c r="F230" s="6">
        <v>14271949</v>
      </c>
      <c r="G230" s="3">
        <v>14271949</v>
      </c>
      <c r="H230" s="7">
        <v>733003925635</v>
      </c>
      <c r="I230" s="8" t="s">
        <v>1185</v>
      </c>
      <c r="J230" s="4">
        <v>1</v>
      </c>
      <c r="K230" s="9">
        <v>7.99</v>
      </c>
      <c r="L230" s="9">
        <v>7.99</v>
      </c>
      <c r="M230" s="4" t="s">
        <v>1186</v>
      </c>
      <c r="N230" s="4" t="s">
        <v>2611</v>
      </c>
      <c r="O230" s="4" t="s">
        <v>2628</v>
      </c>
      <c r="P230" s="4" t="s">
        <v>2503</v>
      </c>
      <c r="Q230" s="4" t="s">
        <v>2504</v>
      </c>
      <c r="R230" s="4"/>
      <c r="S230" s="4"/>
      <c r="T230" s="4" t="str">
        <f>HYPERLINK("http://slimages.macys.com/is/image/MCY/17656375 ")</f>
        <v xml:space="preserve">http://slimages.macys.com/is/image/MCY/17656375 </v>
      </c>
    </row>
    <row r="231" spans="1:20" ht="15" customHeight="1" x14ac:dyDescent="0.25">
      <c r="A231" s="4" t="s">
        <v>2489</v>
      </c>
      <c r="B231" s="2" t="s">
        <v>2487</v>
      </c>
      <c r="C231" s="2" t="s">
        <v>2488</v>
      </c>
      <c r="D231" s="5" t="s">
        <v>2490</v>
      </c>
      <c r="E231" s="4" t="s">
        <v>2491</v>
      </c>
      <c r="F231" s="6">
        <v>14271949</v>
      </c>
      <c r="G231" s="3">
        <v>14271949</v>
      </c>
      <c r="H231" s="7">
        <v>733004738548</v>
      </c>
      <c r="I231" s="8" t="s">
        <v>459</v>
      </c>
      <c r="J231" s="4">
        <v>1</v>
      </c>
      <c r="K231" s="9">
        <v>6.99</v>
      </c>
      <c r="L231" s="9">
        <v>6.99</v>
      </c>
      <c r="M231" s="4" t="s">
        <v>2462</v>
      </c>
      <c r="N231" s="4" t="s">
        <v>2501</v>
      </c>
      <c r="O231" s="4" t="s">
        <v>2502</v>
      </c>
      <c r="P231" s="4" t="s">
        <v>2503</v>
      </c>
      <c r="Q231" s="4" t="s">
        <v>2504</v>
      </c>
      <c r="R231" s="4"/>
      <c r="S231" s="4"/>
      <c r="T231" s="4" t="str">
        <f>HYPERLINK("http://slimages.macys.com/is/image/MCY/19978055 ")</f>
        <v xml:space="preserve">http://slimages.macys.com/is/image/MCY/19978055 </v>
      </c>
    </row>
    <row r="232" spans="1:20" ht="15" customHeight="1" x14ac:dyDescent="0.25">
      <c r="A232" s="4" t="s">
        <v>2489</v>
      </c>
      <c r="B232" s="2" t="s">
        <v>2487</v>
      </c>
      <c r="C232" s="2" t="s">
        <v>2488</v>
      </c>
      <c r="D232" s="5" t="s">
        <v>2490</v>
      </c>
      <c r="E232" s="4" t="s">
        <v>2491</v>
      </c>
      <c r="F232" s="6">
        <v>14271949</v>
      </c>
      <c r="G232" s="3">
        <v>14271949</v>
      </c>
      <c r="H232" s="7">
        <v>733004748530</v>
      </c>
      <c r="I232" s="8" t="s">
        <v>2294</v>
      </c>
      <c r="J232" s="4">
        <v>1</v>
      </c>
      <c r="K232" s="9">
        <v>7.99</v>
      </c>
      <c r="L232" s="9">
        <v>7.99</v>
      </c>
      <c r="M232" s="4" t="s">
        <v>2836</v>
      </c>
      <c r="N232" s="4" t="s">
        <v>2505</v>
      </c>
      <c r="O232" s="4" t="s">
        <v>2628</v>
      </c>
      <c r="P232" s="4" t="s">
        <v>2503</v>
      </c>
      <c r="Q232" s="4" t="s">
        <v>2504</v>
      </c>
      <c r="R232" s="4"/>
      <c r="S232" s="4"/>
      <c r="T232" s="4" t="str">
        <f>HYPERLINK("http://slimages.macys.com/is/image/MCY/19977345 ")</f>
        <v xml:space="preserve">http://slimages.macys.com/is/image/MCY/19977345 </v>
      </c>
    </row>
    <row r="233" spans="1:20" ht="15" customHeight="1" x14ac:dyDescent="0.25">
      <c r="A233" s="4" t="s">
        <v>2489</v>
      </c>
      <c r="B233" s="2" t="s">
        <v>2487</v>
      </c>
      <c r="C233" s="2" t="s">
        <v>2488</v>
      </c>
      <c r="D233" s="5" t="s">
        <v>2490</v>
      </c>
      <c r="E233" s="4" t="s">
        <v>2491</v>
      </c>
      <c r="F233" s="6">
        <v>14271949</v>
      </c>
      <c r="G233" s="3">
        <v>14271949</v>
      </c>
      <c r="H233" s="7">
        <v>196027095096</v>
      </c>
      <c r="I233" s="8" t="s">
        <v>2102</v>
      </c>
      <c r="J233" s="4">
        <v>2</v>
      </c>
      <c r="K233" s="9">
        <v>25.99</v>
      </c>
      <c r="L233" s="9">
        <v>51.98</v>
      </c>
      <c r="M233" s="4" t="s">
        <v>2103</v>
      </c>
      <c r="N233" s="4" t="s">
        <v>2544</v>
      </c>
      <c r="O233" s="4" t="s">
        <v>2524</v>
      </c>
      <c r="P233" s="4" t="s">
        <v>2569</v>
      </c>
      <c r="Q233" s="4" t="s">
        <v>2755</v>
      </c>
      <c r="R233" s="4"/>
      <c r="S233" s="4"/>
      <c r="T233" s="4" t="str">
        <f>HYPERLINK("http://slimages.macys.com/is/image/MCY/20750287 ")</f>
        <v xml:space="preserve">http://slimages.macys.com/is/image/MCY/20750287 </v>
      </c>
    </row>
    <row r="234" spans="1:20" ht="15" customHeight="1" x14ac:dyDescent="0.25">
      <c r="A234" s="4" t="s">
        <v>2489</v>
      </c>
      <c r="B234" s="2" t="s">
        <v>2487</v>
      </c>
      <c r="C234" s="2" t="s">
        <v>2488</v>
      </c>
      <c r="D234" s="5" t="s">
        <v>2490</v>
      </c>
      <c r="E234" s="4" t="s">
        <v>2491</v>
      </c>
      <c r="F234" s="6">
        <v>14271949</v>
      </c>
      <c r="G234" s="3">
        <v>14271949</v>
      </c>
      <c r="H234" s="7">
        <v>194931204801</v>
      </c>
      <c r="I234" s="8" t="s">
        <v>1866</v>
      </c>
      <c r="J234" s="4">
        <v>2</v>
      </c>
      <c r="K234" s="9">
        <v>19.8</v>
      </c>
      <c r="L234" s="9">
        <v>39.6</v>
      </c>
      <c r="M234" s="4" t="s">
        <v>1867</v>
      </c>
      <c r="N234" s="4" t="s">
        <v>2676</v>
      </c>
      <c r="O234" s="4"/>
      <c r="P234" s="4" t="s">
        <v>2622</v>
      </c>
      <c r="Q234" s="4" t="s">
        <v>2643</v>
      </c>
      <c r="R234" s="4"/>
      <c r="S234" s="4"/>
      <c r="T234" s="4" t="str">
        <f>HYPERLINK("http://slimages.macys.com/is/image/MCY/19992439 ")</f>
        <v xml:space="preserve">http://slimages.macys.com/is/image/MCY/19992439 </v>
      </c>
    </row>
    <row r="235" spans="1:20" ht="15" customHeight="1" x14ac:dyDescent="0.25">
      <c r="A235" s="4" t="s">
        <v>2489</v>
      </c>
      <c r="B235" s="2" t="s">
        <v>2487</v>
      </c>
      <c r="C235" s="2" t="s">
        <v>2488</v>
      </c>
      <c r="D235" s="5" t="s">
        <v>2490</v>
      </c>
      <c r="E235" s="4" t="s">
        <v>2491</v>
      </c>
      <c r="F235" s="6">
        <v>14271949</v>
      </c>
      <c r="G235" s="3">
        <v>14271949</v>
      </c>
      <c r="H235" s="7">
        <v>886785499044</v>
      </c>
      <c r="I235" s="8" t="s">
        <v>460</v>
      </c>
      <c r="J235" s="4">
        <v>3</v>
      </c>
      <c r="K235" s="9">
        <v>26.99</v>
      </c>
      <c r="L235" s="9">
        <v>80.97</v>
      </c>
      <c r="M235" s="4" t="s">
        <v>461</v>
      </c>
      <c r="N235" s="4" t="s">
        <v>2664</v>
      </c>
      <c r="O235" s="4">
        <v>8</v>
      </c>
      <c r="P235" s="4" t="s">
        <v>2550</v>
      </c>
      <c r="Q235" s="4" t="s">
        <v>2588</v>
      </c>
      <c r="R235" s="4"/>
      <c r="S235" s="4"/>
      <c r="T235" s="4" t="str">
        <f>HYPERLINK("http://slimages.macys.com/is/image/MCY/20777737 ")</f>
        <v xml:space="preserve">http://slimages.macys.com/is/image/MCY/20777737 </v>
      </c>
    </row>
    <row r="236" spans="1:20" ht="15" customHeight="1" x14ac:dyDescent="0.25">
      <c r="A236" s="4" t="s">
        <v>2489</v>
      </c>
      <c r="B236" s="2" t="s">
        <v>2487</v>
      </c>
      <c r="C236" s="2" t="s">
        <v>2488</v>
      </c>
      <c r="D236" s="5" t="s">
        <v>2490</v>
      </c>
      <c r="E236" s="4" t="s">
        <v>2491</v>
      </c>
      <c r="F236" s="6">
        <v>14271949</v>
      </c>
      <c r="G236" s="3">
        <v>14271949</v>
      </c>
      <c r="H236" s="7">
        <v>889799988245</v>
      </c>
      <c r="I236" s="8" t="s">
        <v>462</v>
      </c>
      <c r="J236" s="4">
        <v>6</v>
      </c>
      <c r="K236" s="9">
        <v>22.99</v>
      </c>
      <c r="L236" s="9">
        <v>137.94</v>
      </c>
      <c r="M236" s="4" t="s">
        <v>463</v>
      </c>
      <c r="N236" s="4" t="s">
        <v>2544</v>
      </c>
      <c r="O236" s="4">
        <v>8</v>
      </c>
      <c r="P236" s="4" t="s">
        <v>2569</v>
      </c>
      <c r="Q236" s="4" t="s">
        <v>2590</v>
      </c>
      <c r="R236" s="4"/>
      <c r="S236" s="4"/>
      <c r="T236" s="4" t="str">
        <f>HYPERLINK("http://slimages.macys.com/is/image/MCY/20084492 ")</f>
        <v xml:space="preserve">http://slimages.macys.com/is/image/MCY/20084492 </v>
      </c>
    </row>
    <row r="237" spans="1:20" ht="15" customHeight="1" x14ac:dyDescent="0.25">
      <c r="A237" s="4" t="s">
        <v>2489</v>
      </c>
      <c r="B237" s="2" t="s">
        <v>2487</v>
      </c>
      <c r="C237" s="2" t="s">
        <v>2488</v>
      </c>
      <c r="D237" s="5" t="s">
        <v>2490</v>
      </c>
      <c r="E237" s="4" t="s">
        <v>2491</v>
      </c>
      <c r="F237" s="6">
        <v>14271949</v>
      </c>
      <c r="G237" s="3">
        <v>14271949</v>
      </c>
      <c r="H237" s="7">
        <v>733004041488</v>
      </c>
      <c r="I237" s="8" t="s">
        <v>464</v>
      </c>
      <c r="J237" s="4">
        <v>1</v>
      </c>
      <c r="K237" s="9">
        <v>7.99</v>
      </c>
      <c r="L237" s="9">
        <v>7.99</v>
      </c>
      <c r="M237" s="4" t="s">
        <v>465</v>
      </c>
      <c r="N237" s="4" t="s">
        <v>2665</v>
      </c>
      <c r="O237" s="4">
        <v>6</v>
      </c>
      <c r="P237" s="4" t="s">
        <v>2520</v>
      </c>
      <c r="Q237" s="4" t="s">
        <v>2528</v>
      </c>
      <c r="R237" s="4"/>
      <c r="S237" s="4"/>
      <c r="T237" s="4" t="str">
        <f>HYPERLINK("http://slimages.macys.com/is/image/MCY/19844197 ")</f>
        <v xml:space="preserve">http://slimages.macys.com/is/image/MCY/19844197 </v>
      </c>
    </row>
    <row r="238" spans="1:20" ht="15" customHeight="1" x14ac:dyDescent="0.25">
      <c r="A238" s="4" t="s">
        <v>2489</v>
      </c>
      <c r="B238" s="2" t="s">
        <v>2487</v>
      </c>
      <c r="C238" s="2" t="s">
        <v>2488</v>
      </c>
      <c r="D238" s="5" t="s">
        <v>2490</v>
      </c>
      <c r="E238" s="4" t="s">
        <v>2491</v>
      </c>
      <c r="F238" s="6">
        <v>14271949</v>
      </c>
      <c r="G238" s="3">
        <v>14271949</v>
      </c>
      <c r="H238" s="7">
        <v>617845243259</v>
      </c>
      <c r="I238" s="8" t="s">
        <v>3354</v>
      </c>
      <c r="J238" s="4">
        <v>2</v>
      </c>
      <c r="K238" s="9">
        <v>39.99</v>
      </c>
      <c r="L238" s="9">
        <v>79.98</v>
      </c>
      <c r="M238" s="4" t="s">
        <v>2790</v>
      </c>
      <c r="N238" s="4" t="s">
        <v>2497</v>
      </c>
      <c r="O238" s="4">
        <v>20</v>
      </c>
      <c r="P238" s="4" t="s">
        <v>2564</v>
      </c>
      <c r="Q238" s="4" t="s">
        <v>2507</v>
      </c>
      <c r="R238" s="4" t="s">
        <v>2552</v>
      </c>
      <c r="S238" s="4" t="s">
        <v>2791</v>
      </c>
      <c r="T238" s="4" t="str">
        <f>HYPERLINK("http://slimages.macys.com/is/image/MCY/15967849 ")</f>
        <v xml:space="preserve">http://slimages.macys.com/is/image/MCY/15967849 </v>
      </c>
    </row>
    <row r="239" spans="1:20" ht="15" customHeight="1" x14ac:dyDescent="0.25">
      <c r="A239" s="4" t="s">
        <v>2489</v>
      </c>
      <c r="B239" s="2" t="s">
        <v>2487</v>
      </c>
      <c r="C239" s="2" t="s">
        <v>2488</v>
      </c>
      <c r="D239" s="5" t="s">
        <v>2490</v>
      </c>
      <c r="E239" s="4" t="s">
        <v>2491</v>
      </c>
      <c r="F239" s="6">
        <v>14271949</v>
      </c>
      <c r="G239" s="3">
        <v>14271949</v>
      </c>
      <c r="H239" s="7">
        <v>617845344482</v>
      </c>
      <c r="I239" s="8" t="s">
        <v>466</v>
      </c>
      <c r="J239" s="4">
        <v>1</v>
      </c>
      <c r="K239" s="9">
        <v>29.99</v>
      </c>
      <c r="L239" s="9">
        <v>29.99</v>
      </c>
      <c r="M239" s="4" t="s">
        <v>2790</v>
      </c>
      <c r="N239" s="4" t="s">
        <v>2505</v>
      </c>
      <c r="O239" s="4">
        <v>16</v>
      </c>
      <c r="P239" s="4" t="s">
        <v>2564</v>
      </c>
      <c r="Q239" s="4" t="s">
        <v>2507</v>
      </c>
      <c r="R239" s="4" t="s">
        <v>2552</v>
      </c>
      <c r="S239" s="4" t="s">
        <v>2791</v>
      </c>
      <c r="T239" s="4" t="str">
        <f>HYPERLINK("http://slimages.macys.com/is/image/MCY/9026430 ")</f>
        <v xml:space="preserve">http://slimages.macys.com/is/image/MCY/9026430 </v>
      </c>
    </row>
    <row r="240" spans="1:20" ht="15" customHeight="1" x14ac:dyDescent="0.25">
      <c r="A240" s="4" t="s">
        <v>2489</v>
      </c>
      <c r="B240" s="2" t="s">
        <v>2487</v>
      </c>
      <c r="C240" s="2" t="s">
        <v>2488</v>
      </c>
      <c r="D240" s="5" t="s">
        <v>2490</v>
      </c>
      <c r="E240" s="4" t="s">
        <v>2491</v>
      </c>
      <c r="F240" s="6">
        <v>14271949</v>
      </c>
      <c r="G240" s="3">
        <v>14271949</v>
      </c>
      <c r="H240" s="7">
        <v>617846556143</v>
      </c>
      <c r="I240" s="8" t="s">
        <v>467</v>
      </c>
      <c r="J240" s="4">
        <v>1</v>
      </c>
      <c r="K240" s="9">
        <v>27.27</v>
      </c>
      <c r="L240" s="9">
        <v>27.27</v>
      </c>
      <c r="M240" s="4" t="s">
        <v>1614</v>
      </c>
      <c r="N240" s="4" t="s">
        <v>2523</v>
      </c>
      <c r="O240" s="4" t="s">
        <v>2608</v>
      </c>
      <c r="P240" s="4" t="s">
        <v>2564</v>
      </c>
      <c r="Q240" s="4" t="s">
        <v>2507</v>
      </c>
      <c r="R240" s="4" t="s">
        <v>2552</v>
      </c>
      <c r="S240" s="4" t="s">
        <v>2878</v>
      </c>
      <c r="T240" s="4" t="str">
        <f>HYPERLINK("http://slimages.macys.com/is/image/MCY/16069329 ")</f>
        <v xml:space="preserve">http://slimages.macys.com/is/image/MCY/16069329 </v>
      </c>
    </row>
    <row r="241" spans="1:20" ht="15" customHeight="1" x14ac:dyDescent="0.25">
      <c r="A241" s="4" t="s">
        <v>2489</v>
      </c>
      <c r="B241" s="2" t="s">
        <v>2487</v>
      </c>
      <c r="C241" s="2" t="s">
        <v>2488</v>
      </c>
      <c r="D241" s="5" t="s">
        <v>2490</v>
      </c>
      <c r="E241" s="4" t="s">
        <v>2491</v>
      </c>
      <c r="F241" s="6">
        <v>14271949</v>
      </c>
      <c r="G241" s="3">
        <v>14271949</v>
      </c>
      <c r="H241" s="7">
        <v>194135666672</v>
      </c>
      <c r="I241" s="8" t="s">
        <v>468</v>
      </c>
      <c r="J241" s="4">
        <v>1</v>
      </c>
      <c r="K241" s="9">
        <v>11.41</v>
      </c>
      <c r="L241" s="9">
        <v>11.41</v>
      </c>
      <c r="M241" s="4" t="s">
        <v>469</v>
      </c>
      <c r="N241" s="4" t="s">
        <v>2531</v>
      </c>
      <c r="O241" s="4">
        <v>4</v>
      </c>
      <c r="P241" s="4" t="s">
        <v>2657</v>
      </c>
      <c r="Q241" s="4" t="s">
        <v>2658</v>
      </c>
      <c r="R241" s="4"/>
      <c r="S241" s="4"/>
      <c r="T241" s="4" t="str">
        <f>HYPERLINK("http://slimages.macys.com/is/image/MCY/20193587 ")</f>
        <v xml:space="preserve">http://slimages.macys.com/is/image/MCY/20193587 </v>
      </c>
    </row>
    <row r="242" spans="1:20" ht="15" customHeight="1" x14ac:dyDescent="0.25">
      <c r="A242" s="4" t="s">
        <v>2489</v>
      </c>
      <c r="B242" s="2" t="s">
        <v>2487</v>
      </c>
      <c r="C242" s="2" t="s">
        <v>2488</v>
      </c>
      <c r="D242" s="5" t="s">
        <v>2490</v>
      </c>
      <c r="E242" s="4" t="s">
        <v>2491</v>
      </c>
      <c r="F242" s="6">
        <v>14271949</v>
      </c>
      <c r="G242" s="3">
        <v>14271949</v>
      </c>
      <c r="H242" s="7">
        <v>742728738864</v>
      </c>
      <c r="I242" s="8" t="s">
        <v>470</v>
      </c>
      <c r="J242" s="4">
        <v>1</v>
      </c>
      <c r="K242" s="9">
        <v>29.99</v>
      </c>
      <c r="L242" s="9">
        <v>29.99</v>
      </c>
      <c r="M242" s="4" t="s">
        <v>471</v>
      </c>
      <c r="N242" s="4" t="s">
        <v>2535</v>
      </c>
      <c r="O242" s="4" t="s">
        <v>2559</v>
      </c>
      <c r="P242" s="4" t="s">
        <v>2562</v>
      </c>
      <c r="Q242" s="4" t="s">
        <v>2733</v>
      </c>
      <c r="R242" s="4"/>
      <c r="S242" s="4"/>
      <c r="T242" s="4" t="str">
        <f>HYPERLINK("http://slimages.macys.com/is/image/MCY/20643226 ")</f>
        <v xml:space="preserve">http://slimages.macys.com/is/image/MCY/20643226 </v>
      </c>
    </row>
    <row r="243" spans="1:20" ht="15" customHeight="1" x14ac:dyDescent="0.25">
      <c r="A243" s="4" t="s">
        <v>2489</v>
      </c>
      <c r="B243" s="2" t="s">
        <v>2487</v>
      </c>
      <c r="C243" s="2" t="s">
        <v>2488</v>
      </c>
      <c r="D243" s="5" t="s">
        <v>2490</v>
      </c>
      <c r="E243" s="4" t="s">
        <v>2491</v>
      </c>
      <c r="F243" s="6">
        <v>14271949</v>
      </c>
      <c r="G243" s="3">
        <v>14271949</v>
      </c>
      <c r="H243" s="7">
        <v>733003926908</v>
      </c>
      <c r="I243" s="8" t="s">
        <v>1226</v>
      </c>
      <c r="J243" s="4">
        <v>4</v>
      </c>
      <c r="K243" s="9">
        <v>5.99</v>
      </c>
      <c r="L243" s="9">
        <v>23.96</v>
      </c>
      <c r="M243" s="4" t="s">
        <v>1227</v>
      </c>
      <c r="N243" s="4" t="s">
        <v>2682</v>
      </c>
      <c r="O243" s="4" t="s">
        <v>2493</v>
      </c>
      <c r="P243" s="4" t="s">
        <v>2503</v>
      </c>
      <c r="Q243" s="4" t="s">
        <v>2504</v>
      </c>
      <c r="R243" s="4"/>
      <c r="S243" s="4"/>
      <c r="T243" s="4" t="str">
        <f>HYPERLINK("http://slimages.macys.com/is/image/MCY/903950 ")</f>
        <v xml:space="preserve">http://slimages.macys.com/is/image/MCY/903950 </v>
      </c>
    </row>
    <row r="244" spans="1:20" ht="15" customHeight="1" x14ac:dyDescent="0.25">
      <c r="A244" s="4" t="s">
        <v>2489</v>
      </c>
      <c r="B244" s="2" t="s">
        <v>2487</v>
      </c>
      <c r="C244" s="2" t="s">
        <v>2488</v>
      </c>
      <c r="D244" s="5" t="s">
        <v>2490</v>
      </c>
      <c r="E244" s="4" t="s">
        <v>2491</v>
      </c>
      <c r="F244" s="6">
        <v>14271949</v>
      </c>
      <c r="G244" s="3">
        <v>14271949</v>
      </c>
      <c r="H244" s="7">
        <v>194135475557</v>
      </c>
      <c r="I244" s="8" t="s">
        <v>472</v>
      </c>
      <c r="J244" s="4">
        <v>1</v>
      </c>
      <c r="K244" s="9">
        <v>17.059999999999999</v>
      </c>
      <c r="L244" s="9">
        <v>17.059999999999999</v>
      </c>
      <c r="M244" s="4" t="s">
        <v>473</v>
      </c>
      <c r="N244" s="4" t="s">
        <v>2518</v>
      </c>
      <c r="O244" s="4" t="s">
        <v>2607</v>
      </c>
      <c r="P244" s="4" t="s">
        <v>2494</v>
      </c>
      <c r="Q244" s="4" t="s">
        <v>2495</v>
      </c>
      <c r="R244" s="4"/>
      <c r="S244" s="4"/>
      <c r="T244" s="4" t="str">
        <f>HYPERLINK("http://slimages.macys.com/is/image/MCY/19915875 ")</f>
        <v xml:space="preserve">http://slimages.macys.com/is/image/MCY/19915875 </v>
      </c>
    </row>
    <row r="245" spans="1:20" ht="15" customHeight="1" x14ac:dyDescent="0.25">
      <c r="A245" s="4" t="s">
        <v>2489</v>
      </c>
      <c r="B245" s="2" t="s">
        <v>2487</v>
      </c>
      <c r="C245" s="2" t="s">
        <v>2488</v>
      </c>
      <c r="D245" s="5" t="s">
        <v>2490</v>
      </c>
      <c r="E245" s="4" t="s">
        <v>2491</v>
      </c>
      <c r="F245" s="6">
        <v>14271949</v>
      </c>
      <c r="G245" s="3">
        <v>14271949</v>
      </c>
      <c r="H245" s="7">
        <v>762120085434</v>
      </c>
      <c r="I245" s="8" t="s">
        <v>2168</v>
      </c>
      <c r="J245" s="4">
        <v>2</v>
      </c>
      <c r="K245" s="9">
        <v>7.99</v>
      </c>
      <c r="L245" s="9">
        <v>15.98</v>
      </c>
      <c r="M245" s="4" t="s">
        <v>2929</v>
      </c>
      <c r="N245" s="4"/>
      <c r="O245" s="4">
        <v>5</v>
      </c>
      <c r="P245" s="4" t="s">
        <v>2602</v>
      </c>
      <c r="Q245" s="4" t="s">
        <v>2528</v>
      </c>
      <c r="R245" s="4"/>
      <c r="S245" s="4"/>
      <c r="T245" s="4" t="str">
        <f>HYPERLINK("http://slimages.macys.com/is/image/MCY/20691811 ")</f>
        <v xml:space="preserve">http://slimages.macys.com/is/image/MCY/20691811 </v>
      </c>
    </row>
    <row r="246" spans="1:20" ht="15" customHeight="1" x14ac:dyDescent="0.25">
      <c r="A246" s="4" t="s">
        <v>2489</v>
      </c>
      <c r="B246" s="2" t="s">
        <v>2487</v>
      </c>
      <c r="C246" s="2" t="s">
        <v>2488</v>
      </c>
      <c r="D246" s="5" t="s">
        <v>2490</v>
      </c>
      <c r="E246" s="4" t="s">
        <v>2491</v>
      </c>
      <c r="F246" s="6">
        <v>14271949</v>
      </c>
      <c r="G246" s="3">
        <v>14271949</v>
      </c>
      <c r="H246" s="7">
        <v>733004759185</v>
      </c>
      <c r="I246" s="8" t="s">
        <v>1777</v>
      </c>
      <c r="J246" s="4">
        <v>1</v>
      </c>
      <c r="K246" s="9">
        <v>12.99</v>
      </c>
      <c r="L246" s="9">
        <v>12.99</v>
      </c>
      <c r="M246" s="4" t="s">
        <v>1778</v>
      </c>
      <c r="N246" s="4" t="s">
        <v>2561</v>
      </c>
      <c r="O246" s="4">
        <v>6</v>
      </c>
      <c r="P246" s="4" t="s">
        <v>2515</v>
      </c>
      <c r="Q246" s="4" t="s">
        <v>2672</v>
      </c>
      <c r="R246" s="4"/>
      <c r="S246" s="4"/>
      <c r="T246" s="4" t="str">
        <f>HYPERLINK("http://slimages.macys.com/is/image/MCY/20530797 ")</f>
        <v xml:space="preserve">http://slimages.macys.com/is/image/MCY/20530797 </v>
      </c>
    </row>
    <row r="247" spans="1:20" ht="15" customHeight="1" x14ac:dyDescent="0.25">
      <c r="A247" s="4" t="s">
        <v>2489</v>
      </c>
      <c r="B247" s="2" t="s">
        <v>2487</v>
      </c>
      <c r="C247" s="2" t="s">
        <v>2488</v>
      </c>
      <c r="D247" s="5" t="s">
        <v>2490</v>
      </c>
      <c r="E247" s="4" t="s">
        <v>2491</v>
      </c>
      <c r="F247" s="6">
        <v>14271949</v>
      </c>
      <c r="G247" s="3">
        <v>14271949</v>
      </c>
      <c r="H247" s="7">
        <v>195958165311</v>
      </c>
      <c r="I247" s="8" t="s">
        <v>474</v>
      </c>
      <c r="J247" s="4">
        <v>1</v>
      </c>
      <c r="K247" s="9">
        <v>36.5</v>
      </c>
      <c r="L247" s="9">
        <v>36.5</v>
      </c>
      <c r="M247" s="4" t="s">
        <v>475</v>
      </c>
      <c r="N247" s="4" t="s">
        <v>2766</v>
      </c>
      <c r="O247" s="4" t="s">
        <v>2861</v>
      </c>
      <c r="P247" s="4" t="s">
        <v>2876</v>
      </c>
      <c r="Q247" s="4" t="s">
        <v>2877</v>
      </c>
      <c r="R247" s="4"/>
      <c r="S247" s="4"/>
      <c r="T247" s="4" t="str">
        <f>HYPERLINK("http://slimages.macys.com/is/image/MCY/20006161 ")</f>
        <v xml:space="preserve">http://slimages.macys.com/is/image/MCY/20006161 </v>
      </c>
    </row>
    <row r="248" spans="1:20" ht="15" customHeight="1" x14ac:dyDescent="0.25">
      <c r="A248" s="4" t="s">
        <v>2489</v>
      </c>
      <c r="B248" s="2" t="s">
        <v>2487</v>
      </c>
      <c r="C248" s="2" t="s">
        <v>2488</v>
      </c>
      <c r="D248" s="5" t="s">
        <v>2490</v>
      </c>
      <c r="E248" s="4" t="s">
        <v>2491</v>
      </c>
      <c r="F248" s="6">
        <v>14271949</v>
      </c>
      <c r="G248" s="3">
        <v>14271949</v>
      </c>
      <c r="H248" s="7">
        <v>762120162333</v>
      </c>
      <c r="I248" s="8" t="s">
        <v>3248</v>
      </c>
      <c r="J248" s="4">
        <v>1</v>
      </c>
      <c r="K248" s="9">
        <v>11.99</v>
      </c>
      <c r="L248" s="9">
        <v>11.99</v>
      </c>
      <c r="M248" s="4" t="s">
        <v>2631</v>
      </c>
      <c r="N248" s="4" t="s">
        <v>2632</v>
      </c>
      <c r="O248" s="4">
        <v>5</v>
      </c>
      <c r="P248" s="4" t="s">
        <v>2602</v>
      </c>
      <c r="Q248" s="4" t="s">
        <v>2528</v>
      </c>
      <c r="R248" s="4"/>
      <c r="S248" s="4"/>
      <c r="T248" s="4" t="str">
        <f>HYPERLINK("http://slimages.macys.com/is/image/MCY/20819681 ")</f>
        <v xml:space="preserve">http://slimages.macys.com/is/image/MCY/20819681 </v>
      </c>
    </row>
    <row r="249" spans="1:20" ht="15" customHeight="1" x14ac:dyDescent="0.25">
      <c r="A249" s="4" t="s">
        <v>2489</v>
      </c>
      <c r="B249" s="2" t="s">
        <v>2487</v>
      </c>
      <c r="C249" s="2" t="s">
        <v>2488</v>
      </c>
      <c r="D249" s="5" t="s">
        <v>2490</v>
      </c>
      <c r="E249" s="4" t="s">
        <v>2491</v>
      </c>
      <c r="F249" s="6">
        <v>14271949</v>
      </c>
      <c r="G249" s="3">
        <v>14271949</v>
      </c>
      <c r="H249" s="7">
        <v>732999992300</v>
      </c>
      <c r="I249" s="8" t="s">
        <v>2891</v>
      </c>
      <c r="J249" s="4">
        <v>1</v>
      </c>
      <c r="K249" s="9">
        <v>6.99</v>
      </c>
      <c r="L249" s="9">
        <v>6.99</v>
      </c>
      <c r="M249" s="4" t="s">
        <v>2892</v>
      </c>
      <c r="N249" s="4" t="s">
        <v>2505</v>
      </c>
      <c r="O249" s="4" t="s">
        <v>2555</v>
      </c>
      <c r="P249" s="4" t="s">
        <v>2543</v>
      </c>
      <c r="Q249" s="4" t="s">
        <v>2528</v>
      </c>
      <c r="R249" s="4"/>
      <c r="S249" s="4"/>
      <c r="T249" s="4" t="str">
        <f>HYPERLINK("http://slimages.macys.com/is/image/MCY/17688402 ")</f>
        <v xml:space="preserve">http://slimages.macys.com/is/image/MCY/17688402 </v>
      </c>
    </row>
    <row r="250" spans="1:20" ht="15" customHeight="1" x14ac:dyDescent="0.25">
      <c r="A250" s="4" t="s">
        <v>2489</v>
      </c>
      <c r="B250" s="2" t="s">
        <v>2487</v>
      </c>
      <c r="C250" s="2" t="s">
        <v>2488</v>
      </c>
      <c r="D250" s="5" t="s">
        <v>2490</v>
      </c>
      <c r="E250" s="4" t="s">
        <v>2491</v>
      </c>
      <c r="F250" s="6">
        <v>14271949</v>
      </c>
      <c r="G250" s="3">
        <v>14271949</v>
      </c>
      <c r="H250" s="7">
        <v>194257541574</v>
      </c>
      <c r="I250" s="8" t="s">
        <v>476</v>
      </c>
      <c r="J250" s="4">
        <v>1</v>
      </c>
      <c r="K250" s="9">
        <v>15.75</v>
      </c>
      <c r="L250" s="9">
        <v>15.75</v>
      </c>
      <c r="M250" s="4" t="s">
        <v>3450</v>
      </c>
      <c r="N250" s="4" t="s">
        <v>2762</v>
      </c>
      <c r="O250" s="4" t="s">
        <v>2498</v>
      </c>
      <c r="P250" s="4" t="s">
        <v>2619</v>
      </c>
      <c r="Q250" s="4" t="s">
        <v>2500</v>
      </c>
      <c r="R250" s="4"/>
      <c r="S250" s="4"/>
      <c r="T250" s="4" t="str">
        <f>HYPERLINK("http://slimages.macys.com/is/image/MCY/19835165 ")</f>
        <v xml:space="preserve">http://slimages.macys.com/is/image/MCY/19835165 </v>
      </c>
    </row>
    <row r="251" spans="1:20" ht="15" customHeight="1" x14ac:dyDescent="0.25">
      <c r="A251" s="4" t="s">
        <v>2489</v>
      </c>
      <c r="B251" s="2" t="s">
        <v>2487</v>
      </c>
      <c r="C251" s="2" t="s">
        <v>2488</v>
      </c>
      <c r="D251" s="5" t="s">
        <v>2490</v>
      </c>
      <c r="E251" s="4" t="s">
        <v>2491</v>
      </c>
      <c r="F251" s="6">
        <v>14271949</v>
      </c>
      <c r="G251" s="3">
        <v>14271949</v>
      </c>
      <c r="H251" s="7">
        <v>192042719429</v>
      </c>
      <c r="I251" s="8" t="s">
        <v>477</v>
      </c>
      <c r="J251" s="4">
        <v>1</v>
      </c>
      <c r="K251" s="9">
        <v>17.5</v>
      </c>
      <c r="L251" s="9">
        <v>17.5</v>
      </c>
      <c r="M251" s="4" t="s">
        <v>478</v>
      </c>
      <c r="N251" s="4" t="s">
        <v>2501</v>
      </c>
      <c r="O251" s="4">
        <v>5</v>
      </c>
      <c r="P251" s="4" t="s">
        <v>2876</v>
      </c>
      <c r="Q251" s="4" t="s">
        <v>2877</v>
      </c>
      <c r="R251" s="4" t="s">
        <v>2552</v>
      </c>
      <c r="S251" s="4" t="s">
        <v>2721</v>
      </c>
      <c r="T251" s="4" t="str">
        <f>HYPERLINK("http://slimages.macys.com/is/image/MCY/11437141 ")</f>
        <v xml:space="preserve">http://slimages.macys.com/is/image/MCY/11437141 </v>
      </c>
    </row>
    <row r="252" spans="1:20" ht="15" customHeight="1" x14ac:dyDescent="0.25">
      <c r="A252" s="4" t="s">
        <v>2489</v>
      </c>
      <c r="B252" s="2" t="s">
        <v>2487</v>
      </c>
      <c r="C252" s="2" t="s">
        <v>2488</v>
      </c>
      <c r="D252" s="5" t="s">
        <v>2490</v>
      </c>
      <c r="E252" s="4" t="s">
        <v>2491</v>
      </c>
      <c r="F252" s="6">
        <v>14271949</v>
      </c>
      <c r="G252" s="3">
        <v>14271949</v>
      </c>
      <c r="H252" s="7">
        <v>807421165062</v>
      </c>
      <c r="I252" s="8" t="s">
        <v>479</v>
      </c>
      <c r="J252" s="4">
        <v>1</v>
      </c>
      <c r="K252" s="9">
        <v>16.989999999999998</v>
      </c>
      <c r="L252" s="9">
        <v>16.989999999999998</v>
      </c>
      <c r="M252" s="4" t="s">
        <v>480</v>
      </c>
      <c r="N252" s="4" t="s">
        <v>2739</v>
      </c>
      <c r="O252" s="4" t="s">
        <v>2587</v>
      </c>
      <c r="P252" s="4" t="s">
        <v>2499</v>
      </c>
      <c r="Q252" s="4" t="s">
        <v>3093</v>
      </c>
      <c r="R252" s="4"/>
      <c r="S252" s="4"/>
      <c r="T252" s="4" t="str">
        <f>HYPERLINK("http://slimages.macys.com/is/image/MCY/20330810 ")</f>
        <v xml:space="preserve">http://slimages.macys.com/is/image/MCY/20330810 </v>
      </c>
    </row>
    <row r="253" spans="1:20" ht="15" customHeight="1" x14ac:dyDescent="0.25">
      <c r="A253" s="4" t="s">
        <v>2489</v>
      </c>
      <c r="B253" s="2" t="s">
        <v>2487</v>
      </c>
      <c r="C253" s="2" t="s">
        <v>2488</v>
      </c>
      <c r="D253" s="5" t="s">
        <v>2490</v>
      </c>
      <c r="E253" s="4" t="s">
        <v>2491</v>
      </c>
      <c r="F253" s="6">
        <v>14271949</v>
      </c>
      <c r="G253" s="3">
        <v>14271949</v>
      </c>
      <c r="H253" s="7">
        <v>194870441206</v>
      </c>
      <c r="I253" s="8" t="s">
        <v>481</v>
      </c>
      <c r="J253" s="4">
        <v>1</v>
      </c>
      <c r="K253" s="9">
        <v>16.989999999999998</v>
      </c>
      <c r="L253" s="9">
        <v>16.989999999999998</v>
      </c>
      <c r="M253" s="4" t="s">
        <v>1589</v>
      </c>
      <c r="N253" s="4" t="s">
        <v>2501</v>
      </c>
      <c r="O253" s="4" t="s">
        <v>2524</v>
      </c>
      <c r="P253" s="4" t="s">
        <v>2499</v>
      </c>
      <c r="Q253" s="4" t="s">
        <v>2663</v>
      </c>
      <c r="R253" s="4"/>
      <c r="S253" s="4"/>
      <c r="T253" s="4" t="str">
        <f>HYPERLINK("http://slimages.macys.com/is/image/MCY/19578820 ")</f>
        <v xml:space="preserve">http://slimages.macys.com/is/image/MCY/19578820 </v>
      </c>
    </row>
    <row r="254" spans="1:20" ht="15" customHeight="1" x14ac:dyDescent="0.25">
      <c r="A254" s="4" t="s">
        <v>2489</v>
      </c>
      <c r="B254" s="2" t="s">
        <v>2487</v>
      </c>
      <c r="C254" s="2" t="s">
        <v>2488</v>
      </c>
      <c r="D254" s="5" t="s">
        <v>2490</v>
      </c>
      <c r="E254" s="4" t="s">
        <v>2491</v>
      </c>
      <c r="F254" s="6">
        <v>14271949</v>
      </c>
      <c r="G254" s="3">
        <v>14271949</v>
      </c>
      <c r="H254" s="7">
        <v>194257545299</v>
      </c>
      <c r="I254" s="8" t="s">
        <v>482</v>
      </c>
      <c r="J254" s="4">
        <v>1</v>
      </c>
      <c r="K254" s="9">
        <v>16.989999999999998</v>
      </c>
      <c r="L254" s="9">
        <v>16.989999999999998</v>
      </c>
      <c r="M254" s="4" t="s">
        <v>2712</v>
      </c>
      <c r="N254" s="4" t="s">
        <v>2505</v>
      </c>
      <c r="O254" s="4" t="s">
        <v>2524</v>
      </c>
      <c r="P254" s="4" t="s">
        <v>2499</v>
      </c>
      <c r="Q254" s="4" t="s">
        <v>2525</v>
      </c>
      <c r="R254" s="4"/>
      <c r="S254" s="4"/>
      <c r="T254" s="4" t="str">
        <f>HYPERLINK("http://slimages.macys.com/is/image/MCY/19501968 ")</f>
        <v xml:space="preserve">http://slimages.macys.com/is/image/MCY/19501968 </v>
      </c>
    </row>
    <row r="255" spans="1:20" ht="15" customHeight="1" x14ac:dyDescent="0.25">
      <c r="A255" s="4" t="s">
        <v>2489</v>
      </c>
      <c r="B255" s="2" t="s">
        <v>2487</v>
      </c>
      <c r="C255" s="2" t="s">
        <v>2488</v>
      </c>
      <c r="D255" s="5" t="s">
        <v>2490</v>
      </c>
      <c r="E255" s="4" t="s">
        <v>2491</v>
      </c>
      <c r="F255" s="6">
        <v>14271949</v>
      </c>
      <c r="G255" s="3">
        <v>14271949</v>
      </c>
      <c r="H255" s="7">
        <v>733004952722</v>
      </c>
      <c r="I255" s="8" t="s">
        <v>2115</v>
      </c>
      <c r="J255" s="4">
        <v>1</v>
      </c>
      <c r="K255" s="9">
        <v>13.99</v>
      </c>
      <c r="L255" s="9">
        <v>13.99</v>
      </c>
      <c r="M255" s="4" t="s">
        <v>3456</v>
      </c>
      <c r="N255" s="4" t="s">
        <v>2505</v>
      </c>
      <c r="O255" s="4" t="s">
        <v>2559</v>
      </c>
      <c r="P255" s="4" t="s">
        <v>2503</v>
      </c>
      <c r="Q255" s="4" t="s">
        <v>2504</v>
      </c>
      <c r="R255" s="4"/>
      <c r="S255" s="4"/>
      <c r="T255" s="4" t="str">
        <f>HYPERLINK("http://slimages.macys.com/is/image/MCY/1041665 ")</f>
        <v xml:space="preserve">http://slimages.macys.com/is/image/MCY/1041665 </v>
      </c>
    </row>
    <row r="256" spans="1:20" ht="15" customHeight="1" x14ac:dyDescent="0.25">
      <c r="A256" s="4" t="s">
        <v>2489</v>
      </c>
      <c r="B256" s="2" t="s">
        <v>2487</v>
      </c>
      <c r="C256" s="2" t="s">
        <v>2488</v>
      </c>
      <c r="D256" s="5" t="s">
        <v>2490</v>
      </c>
      <c r="E256" s="4" t="s">
        <v>2491</v>
      </c>
      <c r="F256" s="6">
        <v>14271949</v>
      </c>
      <c r="G256" s="3">
        <v>14271949</v>
      </c>
      <c r="H256" s="7">
        <v>733003805029</v>
      </c>
      <c r="I256" s="8" t="s">
        <v>3291</v>
      </c>
      <c r="J256" s="4">
        <v>1</v>
      </c>
      <c r="K256" s="9">
        <v>5.99</v>
      </c>
      <c r="L256" s="9">
        <v>5.99</v>
      </c>
      <c r="M256" s="4" t="s">
        <v>3232</v>
      </c>
      <c r="N256" s="4" t="s">
        <v>2682</v>
      </c>
      <c r="O256" s="4" t="s">
        <v>2650</v>
      </c>
      <c r="P256" s="4" t="s">
        <v>2520</v>
      </c>
      <c r="Q256" s="4" t="s">
        <v>2528</v>
      </c>
      <c r="R256" s="4"/>
      <c r="S256" s="4"/>
      <c r="T256" s="4" t="str">
        <f>HYPERLINK("http://slimages.macys.com/is/image/MCY/19239511 ")</f>
        <v xml:space="preserve">http://slimages.macys.com/is/image/MCY/19239511 </v>
      </c>
    </row>
    <row r="257" spans="1:20" ht="15" customHeight="1" x14ac:dyDescent="0.25">
      <c r="A257" s="4" t="s">
        <v>2489</v>
      </c>
      <c r="B257" s="2" t="s">
        <v>2487</v>
      </c>
      <c r="C257" s="2" t="s">
        <v>2488</v>
      </c>
      <c r="D257" s="5" t="s">
        <v>2490</v>
      </c>
      <c r="E257" s="4" t="s">
        <v>2491</v>
      </c>
      <c r="F257" s="6">
        <v>14271949</v>
      </c>
      <c r="G257" s="3">
        <v>14271949</v>
      </c>
      <c r="H257" s="7">
        <v>733003642723</v>
      </c>
      <c r="I257" s="8" t="s">
        <v>483</v>
      </c>
      <c r="J257" s="4">
        <v>1</v>
      </c>
      <c r="K257" s="9">
        <v>22.99</v>
      </c>
      <c r="L257" s="9">
        <v>22.99</v>
      </c>
      <c r="M257" s="4" t="s">
        <v>2513</v>
      </c>
      <c r="N257" s="4" t="s">
        <v>2514</v>
      </c>
      <c r="O257" s="4" t="s">
        <v>2555</v>
      </c>
      <c r="P257" s="4" t="s">
        <v>2515</v>
      </c>
      <c r="Q257" s="4" t="s">
        <v>2516</v>
      </c>
      <c r="R257" s="4"/>
      <c r="S257" s="4"/>
      <c r="T257" s="4" t="str">
        <f>HYPERLINK("http://slimages.macys.com/is/image/MCY/20008078 ")</f>
        <v xml:space="preserve">http://slimages.macys.com/is/image/MCY/20008078 </v>
      </c>
    </row>
    <row r="258" spans="1:20" ht="15" customHeight="1" x14ac:dyDescent="0.25">
      <c r="A258" s="4" t="s">
        <v>2489</v>
      </c>
      <c r="B258" s="2" t="s">
        <v>2487</v>
      </c>
      <c r="C258" s="2" t="s">
        <v>2488</v>
      </c>
      <c r="D258" s="5" t="s">
        <v>2490</v>
      </c>
      <c r="E258" s="4" t="s">
        <v>2491</v>
      </c>
      <c r="F258" s="6">
        <v>14271949</v>
      </c>
      <c r="G258" s="3">
        <v>14271949</v>
      </c>
      <c r="H258" s="7">
        <v>733004038594</v>
      </c>
      <c r="I258" s="8" t="s">
        <v>484</v>
      </c>
      <c r="J258" s="4">
        <v>1</v>
      </c>
      <c r="K258" s="9">
        <v>7.99</v>
      </c>
      <c r="L258" s="9">
        <v>7.99</v>
      </c>
      <c r="M258" s="4" t="s">
        <v>3145</v>
      </c>
      <c r="N258" s="4" t="s">
        <v>2514</v>
      </c>
      <c r="O258" s="4" t="s">
        <v>2650</v>
      </c>
      <c r="P258" s="4" t="s">
        <v>2602</v>
      </c>
      <c r="Q258" s="4" t="s">
        <v>2528</v>
      </c>
      <c r="R258" s="4"/>
      <c r="S258" s="4"/>
      <c r="T258" s="4" t="str">
        <f>HYPERLINK("http://slimages.macys.com/is/image/MCY/19988126 ")</f>
        <v xml:space="preserve">http://slimages.macys.com/is/image/MCY/19988126 </v>
      </c>
    </row>
    <row r="259" spans="1:20" ht="15" customHeight="1" x14ac:dyDescent="0.25">
      <c r="A259" s="4" t="s">
        <v>2489</v>
      </c>
      <c r="B259" s="2" t="s">
        <v>2487</v>
      </c>
      <c r="C259" s="2" t="s">
        <v>2488</v>
      </c>
      <c r="D259" s="5" t="s">
        <v>2490</v>
      </c>
      <c r="E259" s="4" t="s">
        <v>2491</v>
      </c>
      <c r="F259" s="6">
        <v>14271949</v>
      </c>
      <c r="G259" s="3">
        <v>14271949</v>
      </c>
      <c r="H259" s="7">
        <v>733003924317</v>
      </c>
      <c r="I259" s="8" t="s">
        <v>485</v>
      </c>
      <c r="J259" s="4">
        <v>1</v>
      </c>
      <c r="K259" s="9">
        <v>6.99</v>
      </c>
      <c r="L259" s="9">
        <v>6.99</v>
      </c>
      <c r="M259" s="4" t="s">
        <v>2786</v>
      </c>
      <c r="N259" s="4" t="s">
        <v>2638</v>
      </c>
      <c r="O259" s="4" t="s">
        <v>2493</v>
      </c>
      <c r="P259" s="4" t="s">
        <v>2503</v>
      </c>
      <c r="Q259" s="4" t="s">
        <v>2504</v>
      </c>
      <c r="R259" s="4"/>
      <c r="S259" s="4"/>
      <c r="T259" s="4" t="str">
        <f>HYPERLINK("http://slimages.macys.com/is/image/MCY/19507928 ")</f>
        <v xml:space="preserve">http://slimages.macys.com/is/image/MCY/19507928 </v>
      </c>
    </row>
    <row r="260" spans="1:20" ht="15" customHeight="1" x14ac:dyDescent="0.25">
      <c r="A260" s="4" t="s">
        <v>2489</v>
      </c>
      <c r="B260" s="2" t="s">
        <v>2487</v>
      </c>
      <c r="C260" s="2" t="s">
        <v>2488</v>
      </c>
      <c r="D260" s="5" t="s">
        <v>2490</v>
      </c>
      <c r="E260" s="4" t="s">
        <v>2491</v>
      </c>
      <c r="F260" s="6">
        <v>14271949</v>
      </c>
      <c r="G260" s="3">
        <v>14271949</v>
      </c>
      <c r="H260" s="7">
        <v>733003926519</v>
      </c>
      <c r="I260" s="8" t="s">
        <v>486</v>
      </c>
      <c r="J260" s="4">
        <v>1</v>
      </c>
      <c r="K260" s="9">
        <v>6.99</v>
      </c>
      <c r="L260" s="9">
        <v>6.99</v>
      </c>
      <c r="M260" s="4" t="s">
        <v>3108</v>
      </c>
      <c r="N260" s="4" t="s">
        <v>2531</v>
      </c>
      <c r="O260" s="4" t="s">
        <v>2502</v>
      </c>
      <c r="P260" s="4" t="s">
        <v>2503</v>
      </c>
      <c r="Q260" s="4" t="s">
        <v>2504</v>
      </c>
      <c r="R260" s="4"/>
      <c r="S260" s="4"/>
      <c r="T260" s="4" t="str">
        <f>HYPERLINK("http://slimages.macys.com/is/image/MCY/19507885 ")</f>
        <v xml:space="preserve">http://slimages.macys.com/is/image/MCY/19507885 </v>
      </c>
    </row>
    <row r="261" spans="1:20" ht="15" customHeight="1" x14ac:dyDescent="0.25">
      <c r="A261" s="4" t="s">
        <v>2489</v>
      </c>
      <c r="B261" s="2" t="s">
        <v>2487</v>
      </c>
      <c r="C261" s="2" t="s">
        <v>2488</v>
      </c>
      <c r="D261" s="5" t="s">
        <v>2490</v>
      </c>
      <c r="E261" s="4" t="s">
        <v>2491</v>
      </c>
      <c r="F261" s="6">
        <v>14271949</v>
      </c>
      <c r="G261" s="3">
        <v>14271949</v>
      </c>
      <c r="H261" s="7">
        <v>733003926830</v>
      </c>
      <c r="I261" s="8" t="s">
        <v>1430</v>
      </c>
      <c r="J261" s="4">
        <v>1</v>
      </c>
      <c r="K261" s="9">
        <v>5.99</v>
      </c>
      <c r="L261" s="9">
        <v>5.99</v>
      </c>
      <c r="M261" s="4" t="s">
        <v>3401</v>
      </c>
      <c r="N261" s="4" t="s">
        <v>2518</v>
      </c>
      <c r="O261" s="4" t="s">
        <v>2601</v>
      </c>
      <c r="P261" s="4" t="s">
        <v>2503</v>
      </c>
      <c r="Q261" s="4" t="s">
        <v>2504</v>
      </c>
      <c r="R261" s="4"/>
      <c r="S261" s="4"/>
      <c r="T261" s="4" t="str">
        <f>HYPERLINK("http://slimages.macys.com/is/image/MCY/903950 ")</f>
        <v xml:space="preserve">http://slimages.macys.com/is/image/MCY/903950 </v>
      </c>
    </row>
    <row r="262" spans="1:20" ht="15" customHeight="1" x14ac:dyDescent="0.25">
      <c r="A262" s="4" t="s">
        <v>2489</v>
      </c>
      <c r="B262" s="2" t="s">
        <v>2487</v>
      </c>
      <c r="C262" s="2" t="s">
        <v>2488</v>
      </c>
      <c r="D262" s="5" t="s">
        <v>2490</v>
      </c>
      <c r="E262" s="4" t="s">
        <v>2491</v>
      </c>
      <c r="F262" s="6">
        <v>14271949</v>
      </c>
      <c r="G262" s="3">
        <v>14271949</v>
      </c>
      <c r="H262" s="7">
        <v>733004291623</v>
      </c>
      <c r="I262" s="8" t="s">
        <v>487</v>
      </c>
      <c r="J262" s="4">
        <v>1</v>
      </c>
      <c r="K262" s="9">
        <v>31.99</v>
      </c>
      <c r="L262" s="9">
        <v>31.99</v>
      </c>
      <c r="M262" s="4" t="s">
        <v>488</v>
      </c>
      <c r="N262" s="4" t="s">
        <v>2600</v>
      </c>
      <c r="O262" s="4"/>
      <c r="P262" s="4" t="s">
        <v>2503</v>
      </c>
      <c r="Q262" s="4" t="s">
        <v>2504</v>
      </c>
      <c r="R262" s="4"/>
      <c r="S262" s="4"/>
      <c r="T262" s="4" t="str">
        <f>HYPERLINK("http://slimages.macys.com/is/image/MCY/19754346 ")</f>
        <v xml:space="preserve">http://slimages.macys.com/is/image/MCY/19754346 </v>
      </c>
    </row>
    <row r="263" spans="1:20" ht="15" customHeight="1" x14ac:dyDescent="0.25">
      <c r="A263" s="4" t="s">
        <v>2489</v>
      </c>
      <c r="B263" s="2" t="s">
        <v>2487</v>
      </c>
      <c r="C263" s="2" t="s">
        <v>2488</v>
      </c>
      <c r="D263" s="5" t="s">
        <v>2490</v>
      </c>
      <c r="E263" s="4" t="s">
        <v>2491</v>
      </c>
      <c r="F263" s="6">
        <v>14271949</v>
      </c>
      <c r="G263" s="3">
        <v>14271949</v>
      </c>
      <c r="H263" s="7">
        <v>733004883507</v>
      </c>
      <c r="I263" s="8" t="s">
        <v>489</v>
      </c>
      <c r="J263" s="4">
        <v>1</v>
      </c>
      <c r="K263" s="9">
        <v>6.99</v>
      </c>
      <c r="L263" s="9">
        <v>6.99</v>
      </c>
      <c r="M263" s="4" t="s">
        <v>1971</v>
      </c>
      <c r="N263" s="4" t="s">
        <v>2501</v>
      </c>
      <c r="O263" s="4"/>
      <c r="P263" s="4" t="s">
        <v>2503</v>
      </c>
      <c r="Q263" s="4" t="s">
        <v>2504</v>
      </c>
      <c r="R263" s="4"/>
      <c r="S263" s="4"/>
      <c r="T263" s="4" t="str">
        <f>HYPERLINK("http://slimages.macys.com/is/image/MCY/1062099 ")</f>
        <v xml:space="preserve">http://slimages.macys.com/is/image/MCY/1062099 </v>
      </c>
    </row>
    <row r="264" spans="1:20" ht="15" customHeight="1" x14ac:dyDescent="0.25">
      <c r="A264" s="4" t="s">
        <v>2489</v>
      </c>
      <c r="B264" s="2" t="s">
        <v>2487</v>
      </c>
      <c r="C264" s="2" t="s">
        <v>2488</v>
      </c>
      <c r="D264" s="5" t="s">
        <v>2490</v>
      </c>
      <c r="E264" s="4" t="s">
        <v>2491</v>
      </c>
      <c r="F264" s="6">
        <v>14271949</v>
      </c>
      <c r="G264" s="3">
        <v>14271949</v>
      </c>
      <c r="H264" s="7">
        <v>733003926878</v>
      </c>
      <c r="I264" s="8" t="s">
        <v>1391</v>
      </c>
      <c r="J264" s="4">
        <v>2</v>
      </c>
      <c r="K264" s="9">
        <v>5.99</v>
      </c>
      <c r="L264" s="9">
        <v>11.98</v>
      </c>
      <c r="M264" s="4" t="s">
        <v>1227</v>
      </c>
      <c r="N264" s="4" t="s">
        <v>2682</v>
      </c>
      <c r="O264" s="4" t="s">
        <v>2559</v>
      </c>
      <c r="P264" s="4" t="s">
        <v>2503</v>
      </c>
      <c r="Q264" s="4" t="s">
        <v>2504</v>
      </c>
      <c r="R264" s="4"/>
      <c r="S264" s="4"/>
      <c r="T264" s="4" t="str">
        <f>HYPERLINK("http://slimages.macys.com/is/image/MCY/903950 ")</f>
        <v xml:space="preserve">http://slimages.macys.com/is/image/MCY/903950 </v>
      </c>
    </row>
    <row r="265" spans="1:20" ht="15" customHeight="1" x14ac:dyDescent="0.25">
      <c r="A265" s="4" t="s">
        <v>2489</v>
      </c>
      <c r="B265" s="2" t="s">
        <v>2487</v>
      </c>
      <c r="C265" s="2" t="s">
        <v>2488</v>
      </c>
      <c r="D265" s="5" t="s">
        <v>2490</v>
      </c>
      <c r="E265" s="4" t="s">
        <v>2491</v>
      </c>
      <c r="F265" s="6">
        <v>14271949</v>
      </c>
      <c r="G265" s="3">
        <v>14271949</v>
      </c>
      <c r="H265" s="7">
        <v>677838853858</v>
      </c>
      <c r="I265" s="8" t="s">
        <v>490</v>
      </c>
      <c r="J265" s="4">
        <v>2</v>
      </c>
      <c r="K265" s="9">
        <v>26.99</v>
      </c>
      <c r="L265" s="9">
        <v>53.98</v>
      </c>
      <c r="M265" s="4" t="s">
        <v>2890</v>
      </c>
      <c r="N265" s="4" t="s">
        <v>2535</v>
      </c>
      <c r="O265" s="4" t="s">
        <v>2591</v>
      </c>
      <c r="P265" s="4" t="s">
        <v>2562</v>
      </c>
      <c r="Q265" s="4" t="s">
        <v>2733</v>
      </c>
      <c r="R265" s="4"/>
      <c r="S265" s="4"/>
      <c r="T265" s="4" t="str">
        <f>HYPERLINK("http://slimages.macys.com/is/image/MCY/20643223 ")</f>
        <v xml:space="preserve">http://slimages.macys.com/is/image/MCY/20643223 </v>
      </c>
    </row>
    <row r="266" spans="1:20" ht="15" customHeight="1" x14ac:dyDescent="0.25">
      <c r="A266" s="4" t="s">
        <v>2489</v>
      </c>
      <c r="B266" s="2" t="s">
        <v>2487</v>
      </c>
      <c r="C266" s="2" t="s">
        <v>2488</v>
      </c>
      <c r="D266" s="5" t="s">
        <v>2490</v>
      </c>
      <c r="E266" s="4" t="s">
        <v>2491</v>
      </c>
      <c r="F266" s="6">
        <v>14271949</v>
      </c>
      <c r="G266" s="3">
        <v>14271949</v>
      </c>
      <c r="H266" s="7">
        <v>733004085857</v>
      </c>
      <c r="I266" s="8" t="s">
        <v>1886</v>
      </c>
      <c r="J266" s="4">
        <v>1</v>
      </c>
      <c r="K266" s="9">
        <v>21.99</v>
      </c>
      <c r="L266" s="9">
        <v>21.99</v>
      </c>
      <c r="M266" s="4" t="s">
        <v>2842</v>
      </c>
      <c r="N266" s="4" t="s">
        <v>2514</v>
      </c>
      <c r="O266" s="4" t="s">
        <v>2498</v>
      </c>
      <c r="P266" s="4" t="s">
        <v>2543</v>
      </c>
      <c r="Q266" s="4" t="s">
        <v>2528</v>
      </c>
      <c r="R266" s="4"/>
      <c r="S266" s="4"/>
      <c r="T266" s="4" t="str">
        <f>HYPERLINK("http://slimages.macys.com/is/image/MCY/19988442 ")</f>
        <v xml:space="preserve">http://slimages.macys.com/is/image/MCY/19988442 </v>
      </c>
    </row>
    <row r="267" spans="1:20" ht="15" customHeight="1" x14ac:dyDescent="0.25">
      <c r="A267" s="4" t="s">
        <v>2489</v>
      </c>
      <c r="B267" s="2" t="s">
        <v>2487</v>
      </c>
      <c r="C267" s="2" t="s">
        <v>2488</v>
      </c>
      <c r="D267" s="5" t="s">
        <v>2490</v>
      </c>
      <c r="E267" s="4" t="s">
        <v>2491</v>
      </c>
      <c r="F267" s="6">
        <v>14271949</v>
      </c>
      <c r="G267" s="3">
        <v>14271949</v>
      </c>
      <c r="H267" s="7">
        <v>762120085670</v>
      </c>
      <c r="I267" s="8" t="s">
        <v>491</v>
      </c>
      <c r="J267" s="4">
        <v>1</v>
      </c>
      <c r="K267" s="9">
        <v>7.99</v>
      </c>
      <c r="L267" s="9">
        <v>7.99</v>
      </c>
      <c r="M267" s="4" t="s">
        <v>3389</v>
      </c>
      <c r="N267" s="4" t="s">
        <v>2565</v>
      </c>
      <c r="O267" s="4">
        <v>6</v>
      </c>
      <c r="P267" s="4" t="s">
        <v>2602</v>
      </c>
      <c r="Q267" s="4" t="s">
        <v>2528</v>
      </c>
      <c r="R267" s="4"/>
      <c r="S267" s="4"/>
      <c r="T267" s="4" t="str">
        <f>HYPERLINK("http://slimages.macys.com/is/image/MCY/20691817 ")</f>
        <v xml:space="preserve">http://slimages.macys.com/is/image/MCY/20691817 </v>
      </c>
    </row>
    <row r="268" spans="1:20" ht="15" customHeight="1" x14ac:dyDescent="0.25">
      <c r="A268" s="4" t="s">
        <v>2489</v>
      </c>
      <c r="B268" s="2" t="s">
        <v>2487</v>
      </c>
      <c r="C268" s="2" t="s">
        <v>2488</v>
      </c>
      <c r="D268" s="5" t="s">
        <v>2490</v>
      </c>
      <c r="E268" s="4" t="s">
        <v>2491</v>
      </c>
      <c r="F268" s="6">
        <v>14271949</v>
      </c>
      <c r="G268" s="3">
        <v>14271949</v>
      </c>
      <c r="H268" s="7">
        <v>733004884412</v>
      </c>
      <c r="I268" s="8" t="s">
        <v>2027</v>
      </c>
      <c r="J268" s="4">
        <v>1</v>
      </c>
      <c r="K268" s="9">
        <v>6.99</v>
      </c>
      <c r="L268" s="9">
        <v>6.99</v>
      </c>
      <c r="M268" s="4" t="s">
        <v>2026</v>
      </c>
      <c r="N268" s="4" t="s">
        <v>2638</v>
      </c>
      <c r="O268" s="4"/>
      <c r="P268" s="4" t="s">
        <v>2503</v>
      </c>
      <c r="Q268" s="4" t="s">
        <v>2504</v>
      </c>
      <c r="R268" s="4"/>
      <c r="S268" s="4"/>
      <c r="T268" s="4" t="str">
        <f>HYPERLINK("http://slimages.macys.com/is/image/MCY/1041673 ")</f>
        <v xml:space="preserve">http://slimages.macys.com/is/image/MCY/1041673 </v>
      </c>
    </row>
    <row r="269" spans="1:20" ht="15" customHeight="1" x14ac:dyDescent="0.25">
      <c r="A269" s="4" t="s">
        <v>2489</v>
      </c>
      <c r="B269" s="2" t="s">
        <v>2487</v>
      </c>
      <c r="C269" s="2" t="s">
        <v>2488</v>
      </c>
      <c r="D269" s="5" t="s">
        <v>2490</v>
      </c>
      <c r="E269" s="4" t="s">
        <v>2491</v>
      </c>
      <c r="F269" s="6">
        <v>14271949</v>
      </c>
      <c r="G269" s="3">
        <v>14271949</v>
      </c>
      <c r="H269" s="7">
        <v>762120162470</v>
      </c>
      <c r="I269" s="8" t="s">
        <v>492</v>
      </c>
      <c r="J269" s="4">
        <v>1</v>
      </c>
      <c r="K269" s="9">
        <v>7.99</v>
      </c>
      <c r="L269" s="9">
        <v>7.99</v>
      </c>
      <c r="M269" s="4" t="s">
        <v>3141</v>
      </c>
      <c r="N269" s="4" t="s">
        <v>2632</v>
      </c>
      <c r="O269" s="4" t="s">
        <v>2650</v>
      </c>
      <c r="P269" s="4" t="s">
        <v>2602</v>
      </c>
      <c r="Q269" s="4" t="s">
        <v>2528</v>
      </c>
      <c r="R269" s="4"/>
      <c r="S269" s="4"/>
      <c r="T269" s="4" t="str">
        <f>HYPERLINK("http://slimages.macys.com/is/image/MCY/20819691 ")</f>
        <v xml:space="preserve">http://slimages.macys.com/is/image/MCY/20819691 </v>
      </c>
    </row>
    <row r="270" spans="1:20" ht="15" customHeight="1" x14ac:dyDescent="0.25">
      <c r="A270" s="4" t="s">
        <v>2489</v>
      </c>
      <c r="B270" s="2" t="s">
        <v>2487</v>
      </c>
      <c r="C270" s="2" t="s">
        <v>2488</v>
      </c>
      <c r="D270" s="5" t="s">
        <v>2490</v>
      </c>
      <c r="E270" s="4" t="s">
        <v>2491</v>
      </c>
      <c r="F270" s="6">
        <v>14271949</v>
      </c>
      <c r="G270" s="3">
        <v>14271949</v>
      </c>
      <c r="H270" s="7">
        <v>80538129855</v>
      </c>
      <c r="I270" s="8" t="s">
        <v>3412</v>
      </c>
      <c r="J270" s="4">
        <v>16</v>
      </c>
      <c r="K270" s="9">
        <v>12.99</v>
      </c>
      <c r="L270" s="9">
        <v>207.84</v>
      </c>
      <c r="M270" s="4" t="s">
        <v>2987</v>
      </c>
      <c r="N270" s="4" t="s">
        <v>2567</v>
      </c>
      <c r="O270" s="10">
        <v>44961</v>
      </c>
      <c r="P270" s="4" t="s">
        <v>2666</v>
      </c>
      <c r="Q270" s="4" t="s">
        <v>2778</v>
      </c>
      <c r="R270" s="4"/>
      <c r="S270" s="4"/>
      <c r="T270" s="4" t="str">
        <f>HYPERLINK("http://slimages.macys.com/is/image/MCY/20052304 ")</f>
        <v xml:space="preserve">http://slimages.macys.com/is/image/MCY/20052304 </v>
      </c>
    </row>
    <row r="271" spans="1:20" ht="15" customHeight="1" x14ac:dyDescent="0.25">
      <c r="A271" s="4" t="s">
        <v>2489</v>
      </c>
      <c r="B271" s="2" t="s">
        <v>2487</v>
      </c>
      <c r="C271" s="2" t="s">
        <v>2488</v>
      </c>
      <c r="D271" s="5" t="s">
        <v>2490</v>
      </c>
      <c r="E271" s="4" t="s">
        <v>2491</v>
      </c>
      <c r="F271" s="6">
        <v>14271949</v>
      </c>
      <c r="G271" s="3">
        <v>14271949</v>
      </c>
      <c r="H271" s="7">
        <v>696114433553</v>
      </c>
      <c r="I271" s="8" t="s">
        <v>1934</v>
      </c>
      <c r="J271" s="4">
        <v>11</v>
      </c>
      <c r="K271" s="9">
        <v>19.989999999999998</v>
      </c>
      <c r="L271" s="9">
        <v>219.89</v>
      </c>
      <c r="M271" s="4" t="s">
        <v>2759</v>
      </c>
      <c r="N271" s="4" t="s">
        <v>2731</v>
      </c>
      <c r="O271" s="4"/>
      <c r="P271" s="4" t="s">
        <v>2569</v>
      </c>
      <c r="Q271" s="4" t="s">
        <v>2732</v>
      </c>
      <c r="R271" s="4"/>
      <c r="S271" s="4"/>
      <c r="T271" s="4" t="str">
        <f>HYPERLINK("http://slimages.macys.com/is/image/MCY/20426350 ")</f>
        <v xml:space="preserve">http://slimages.macys.com/is/image/MCY/20426350 </v>
      </c>
    </row>
    <row r="272" spans="1:20" ht="15" customHeight="1" x14ac:dyDescent="0.25">
      <c r="A272" s="4" t="s">
        <v>2489</v>
      </c>
      <c r="B272" s="2" t="s">
        <v>2487</v>
      </c>
      <c r="C272" s="2" t="s">
        <v>2488</v>
      </c>
      <c r="D272" s="5" t="s">
        <v>2490</v>
      </c>
      <c r="E272" s="4" t="s">
        <v>2491</v>
      </c>
      <c r="F272" s="6">
        <v>14271949</v>
      </c>
      <c r="G272" s="3">
        <v>14271949</v>
      </c>
      <c r="H272" s="7">
        <v>195958094277</v>
      </c>
      <c r="I272" s="8" t="s">
        <v>493</v>
      </c>
      <c r="J272" s="4">
        <v>13</v>
      </c>
      <c r="K272" s="9">
        <v>49.5</v>
      </c>
      <c r="L272" s="9">
        <v>643.5</v>
      </c>
      <c r="M272" s="4" t="s">
        <v>494</v>
      </c>
      <c r="N272" s="4" t="s">
        <v>2731</v>
      </c>
      <c r="O272" s="4"/>
      <c r="P272" s="4" t="s">
        <v>2985</v>
      </c>
      <c r="Q272" s="4" t="s">
        <v>2715</v>
      </c>
      <c r="R272" s="4"/>
      <c r="S272" s="4"/>
      <c r="T272" s="4" t="str">
        <f>HYPERLINK("http://slimages.macys.com/is/image/MCY/19902712 ")</f>
        <v xml:space="preserve">http://slimages.macys.com/is/image/MCY/19902712 </v>
      </c>
    </row>
    <row r="273" spans="1:20" ht="15" customHeight="1" x14ac:dyDescent="0.25">
      <c r="A273" s="4" t="s">
        <v>2489</v>
      </c>
      <c r="B273" s="2" t="s">
        <v>2487</v>
      </c>
      <c r="C273" s="2" t="s">
        <v>2488</v>
      </c>
      <c r="D273" s="5" t="s">
        <v>2490</v>
      </c>
      <c r="E273" s="4" t="s">
        <v>2491</v>
      </c>
      <c r="F273" s="6">
        <v>14271949</v>
      </c>
      <c r="G273" s="3">
        <v>14271949</v>
      </c>
      <c r="H273" s="7">
        <v>733003924805</v>
      </c>
      <c r="I273" s="8" t="s">
        <v>2112</v>
      </c>
      <c r="J273" s="4">
        <v>1</v>
      </c>
      <c r="K273" s="9">
        <v>6.99</v>
      </c>
      <c r="L273" s="9">
        <v>6.99</v>
      </c>
      <c r="M273" s="4" t="s">
        <v>495</v>
      </c>
      <c r="N273" s="4" t="s">
        <v>2600</v>
      </c>
      <c r="O273" s="4" t="s">
        <v>2493</v>
      </c>
      <c r="P273" s="4" t="s">
        <v>2503</v>
      </c>
      <c r="Q273" s="4" t="s">
        <v>2504</v>
      </c>
      <c r="R273" s="4"/>
      <c r="S273" s="4"/>
      <c r="T273" s="4" t="str">
        <f>HYPERLINK("http://slimages.macys.com/is/image/MCY/19511046 ")</f>
        <v xml:space="preserve">http://slimages.macys.com/is/image/MCY/19511046 </v>
      </c>
    </row>
    <row r="274" spans="1:20" ht="15" customHeight="1" x14ac:dyDescent="0.25">
      <c r="A274" s="4" t="s">
        <v>2489</v>
      </c>
      <c r="B274" s="2" t="s">
        <v>2487</v>
      </c>
      <c r="C274" s="2" t="s">
        <v>2488</v>
      </c>
      <c r="D274" s="5" t="s">
        <v>2490</v>
      </c>
      <c r="E274" s="4" t="s">
        <v>2491</v>
      </c>
      <c r="F274" s="6">
        <v>14271949</v>
      </c>
      <c r="G274" s="3">
        <v>14271949</v>
      </c>
      <c r="H274" s="7">
        <v>733003926793</v>
      </c>
      <c r="I274" s="8" t="s">
        <v>2965</v>
      </c>
      <c r="J274" s="4">
        <v>1</v>
      </c>
      <c r="K274" s="9">
        <v>5.99</v>
      </c>
      <c r="L274" s="9">
        <v>5.99</v>
      </c>
      <c r="M274" s="4" t="s">
        <v>1632</v>
      </c>
      <c r="N274" s="4" t="s">
        <v>2600</v>
      </c>
      <c r="O274" s="4" t="s">
        <v>2566</v>
      </c>
      <c r="P274" s="4" t="s">
        <v>2503</v>
      </c>
      <c r="Q274" s="4" t="s">
        <v>2504</v>
      </c>
      <c r="R274" s="4"/>
      <c r="S274" s="4"/>
      <c r="T274" s="4" t="str">
        <f>HYPERLINK("http://slimages.macys.com/is/image/MCY/903950 ")</f>
        <v xml:space="preserve">http://slimages.macys.com/is/image/MCY/903950 </v>
      </c>
    </row>
    <row r="275" spans="1:20" ht="15" customHeight="1" x14ac:dyDescent="0.25">
      <c r="A275" s="4" t="s">
        <v>2489</v>
      </c>
      <c r="B275" s="2" t="s">
        <v>2487</v>
      </c>
      <c r="C275" s="2" t="s">
        <v>2488</v>
      </c>
      <c r="D275" s="5" t="s">
        <v>2490</v>
      </c>
      <c r="E275" s="4" t="s">
        <v>2491</v>
      </c>
      <c r="F275" s="6">
        <v>14271949</v>
      </c>
      <c r="G275" s="3">
        <v>14271949</v>
      </c>
      <c r="H275" s="7">
        <v>194257610478</v>
      </c>
      <c r="I275" s="8" t="s">
        <v>496</v>
      </c>
      <c r="J275" s="4">
        <v>1</v>
      </c>
      <c r="K275" s="9">
        <v>18.989999999999998</v>
      </c>
      <c r="L275" s="9">
        <v>18.989999999999998</v>
      </c>
      <c r="M275" s="4" t="s">
        <v>1819</v>
      </c>
      <c r="N275" s="4" t="s">
        <v>2642</v>
      </c>
      <c r="O275" s="4" t="s">
        <v>2498</v>
      </c>
      <c r="P275" s="4" t="s">
        <v>2499</v>
      </c>
      <c r="Q275" s="4" t="s">
        <v>2500</v>
      </c>
      <c r="R275" s="4"/>
      <c r="S275" s="4"/>
      <c r="T275" s="4" t="str">
        <f>HYPERLINK("http://slimages.macys.com/is/image/MCY/19950712 ")</f>
        <v xml:space="preserve">http://slimages.macys.com/is/image/MCY/19950712 </v>
      </c>
    </row>
    <row r="276" spans="1:20" ht="15" customHeight="1" x14ac:dyDescent="0.25">
      <c r="A276" s="4" t="s">
        <v>2489</v>
      </c>
      <c r="B276" s="2" t="s">
        <v>2487</v>
      </c>
      <c r="C276" s="2" t="s">
        <v>2488</v>
      </c>
      <c r="D276" s="5" t="s">
        <v>2490</v>
      </c>
      <c r="E276" s="4" t="s">
        <v>2491</v>
      </c>
      <c r="F276" s="6">
        <v>14271949</v>
      </c>
      <c r="G276" s="3">
        <v>14271949</v>
      </c>
      <c r="H276" s="7">
        <v>617844318149</v>
      </c>
      <c r="I276" s="8" t="s">
        <v>497</v>
      </c>
      <c r="J276" s="4">
        <v>3</v>
      </c>
      <c r="K276" s="9">
        <v>39.99</v>
      </c>
      <c r="L276" s="9">
        <v>119.97</v>
      </c>
      <c r="M276" s="4" t="s">
        <v>2902</v>
      </c>
      <c r="N276" s="4" t="s">
        <v>2523</v>
      </c>
      <c r="O276" s="4">
        <v>20</v>
      </c>
      <c r="P276" s="4" t="s">
        <v>2564</v>
      </c>
      <c r="Q276" s="4" t="s">
        <v>2507</v>
      </c>
      <c r="R276" s="4" t="s">
        <v>2552</v>
      </c>
      <c r="S276" s="4" t="s">
        <v>2609</v>
      </c>
      <c r="T276" s="4" t="str">
        <f>HYPERLINK("http://slimages.macys.com/is/image/MCY/3696437 ")</f>
        <v xml:space="preserve">http://slimages.macys.com/is/image/MCY/3696437 </v>
      </c>
    </row>
    <row r="277" spans="1:20" ht="15" customHeight="1" x14ac:dyDescent="0.25">
      <c r="A277" s="4" t="s">
        <v>2489</v>
      </c>
      <c r="B277" s="2" t="s">
        <v>2487</v>
      </c>
      <c r="C277" s="2" t="s">
        <v>2488</v>
      </c>
      <c r="D277" s="5" t="s">
        <v>2490</v>
      </c>
      <c r="E277" s="4" t="s">
        <v>2491</v>
      </c>
      <c r="F277" s="6">
        <v>14271949</v>
      </c>
      <c r="G277" s="3">
        <v>14271949</v>
      </c>
      <c r="H277" s="7">
        <v>194133574504</v>
      </c>
      <c r="I277" s="8" t="s">
        <v>498</v>
      </c>
      <c r="J277" s="4">
        <v>1</v>
      </c>
      <c r="K277" s="9">
        <v>14.56</v>
      </c>
      <c r="L277" s="9">
        <v>14.56</v>
      </c>
      <c r="M277" s="4" t="s">
        <v>3078</v>
      </c>
      <c r="N277" s="4" t="s">
        <v>2523</v>
      </c>
      <c r="O277" s="4" t="s">
        <v>2559</v>
      </c>
      <c r="P277" s="4" t="s">
        <v>2494</v>
      </c>
      <c r="Q277" s="4" t="s">
        <v>2495</v>
      </c>
      <c r="R277" s="4"/>
      <c r="S277" s="4"/>
      <c r="T277" s="4" t="str">
        <f>HYPERLINK("http://slimages.macys.com/is/image/MCY/19836213 ")</f>
        <v xml:space="preserve">http://slimages.macys.com/is/image/MCY/19836213 </v>
      </c>
    </row>
    <row r="278" spans="1:20" ht="15" customHeight="1" x14ac:dyDescent="0.25">
      <c r="A278" s="4" t="s">
        <v>2489</v>
      </c>
      <c r="B278" s="2" t="s">
        <v>2487</v>
      </c>
      <c r="C278" s="2" t="s">
        <v>2488</v>
      </c>
      <c r="D278" s="5" t="s">
        <v>2490</v>
      </c>
      <c r="E278" s="4" t="s">
        <v>2491</v>
      </c>
      <c r="F278" s="6">
        <v>14271949</v>
      </c>
      <c r="G278" s="3">
        <v>14271949</v>
      </c>
      <c r="H278" s="7">
        <v>194753858244</v>
      </c>
      <c r="I278" s="8" t="s">
        <v>499</v>
      </c>
      <c r="J278" s="4">
        <v>1</v>
      </c>
      <c r="K278" s="9">
        <v>24.99</v>
      </c>
      <c r="L278" s="9">
        <v>24.99</v>
      </c>
      <c r="M278" s="4" t="s">
        <v>1989</v>
      </c>
      <c r="N278" s="4" t="s">
        <v>2544</v>
      </c>
      <c r="O278" s="4" t="s">
        <v>2493</v>
      </c>
      <c r="P278" s="4" t="s">
        <v>2562</v>
      </c>
      <c r="Q278" s="4" t="s">
        <v>2603</v>
      </c>
      <c r="R278" s="4"/>
      <c r="S278" s="4"/>
      <c r="T278" s="4" t="str">
        <f>HYPERLINK("http://slimages.macys.com/is/image/MCY/20686858 ")</f>
        <v xml:space="preserve">http://slimages.macys.com/is/image/MCY/20686858 </v>
      </c>
    </row>
    <row r="279" spans="1:20" ht="15" customHeight="1" x14ac:dyDescent="0.25">
      <c r="A279" s="4" t="s">
        <v>2489</v>
      </c>
      <c r="B279" s="2" t="s">
        <v>2487</v>
      </c>
      <c r="C279" s="2" t="s">
        <v>2488</v>
      </c>
      <c r="D279" s="5" t="s">
        <v>2490</v>
      </c>
      <c r="E279" s="4" t="s">
        <v>2491</v>
      </c>
      <c r="F279" s="6">
        <v>14271949</v>
      </c>
      <c r="G279" s="3">
        <v>14271949</v>
      </c>
      <c r="H279" s="7">
        <v>617845243082</v>
      </c>
      <c r="I279" s="8" t="s">
        <v>500</v>
      </c>
      <c r="J279" s="4">
        <v>1</v>
      </c>
      <c r="K279" s="9">
        <v>29.99</v>
      </c>
      <c r="L279" s="9">
        <v>29.99</v>
      </c>
      <c r="M279" s="4" t="s">
        <v>2790</v>
      </c>
      <c r="N279" s="4" t="s">
        <v>2518</v>
      </c>
      <c r="O279" s="4">
        <v>18</v>
      </c>
      <c r="P279" s="4" t="s">
        <v>2564</v>
      </c>
      <c r="Q279" s="4" t="s">
        <v>2507</v>
      </c>
      <c r="R279" s="4" t="s">
        <v>2552</v>
      </c>
      <c r="S279" s="4" t="s">
        <v>2791</v>
      </c>
      <c r="T279" s="4" t="str">
        <f>HYPERLINK("http://slimages.macys.com/is/image/MCY/15967849 ")</f>
        <v xml:space="preserve">http://slimages.macys.com/is/image/MCY/15967849 </v>
      </c>
    </row>
    <row r="280" spans="1:20" ht="15" customHeight="1" x14ac:dyDescent="0.25">
      <c r="A280" s="4" t="s">
        <v>2489</v>
      </c>
      <c r="B280" s="2" t="s">
        <v>2487</v>
      </c>
      <c r="C280" s="2" t="s">
        <v>2488</v>
      </c>
      <c r="D280" s="5" t="s">
        <v>2490</v>
      </c>
      <c r="E280" s="4" t="s">
        <v>2491</v>
      </c>
      <c r="F280" s="6">
        <v>14271949</v>
      </c>
      <c r="G280" s="3">
        <v>14271949</v>
      </c>
      <c r="H280" s="7">
        <v>733003928629</v>
      </c>
      <c r="I280" s="8" t="s">
        <v>1241</v>
      </c>
      <c r="J280" s="4">
        <v>1</v>
      </c>
      <c r="K280" s="9">
        <v>7.99</v>
      </c>
      <c r="L280" s="9">
        <v>7.99</v>
      </c>
      <c r="M280" s="4" t="s">
        <v>1242</v>
      </c>
      <c r="N280" s="4" t="s">
        <v>2600</v>
      </c>
      <c r="O280" s="4" t="s">
        <v>2629</v>
      </c>
      <c r="P280" s="4" t="s">
        <v>2503</v>
      </c>
      <c r="Q280" s="4" t="s">
        <v>2504</v>
      </c>
      <c r="R280" s="4"/>
      <c r="S280" s="4"/>
      <c r="T280" s="4" t="str">
        <f>HYPERLINK("http://slimages.macys.com/is/image/MCY/19520973 ")</f>
        <v xml:space="preserve">http://slimages.macys.com/is/image/MCY/19520973 </v>
      </c>
    </row>
    <row r="281" spans="1:20" ht="15" customHeight="1" x14ac:dyDescent="0.25">
      <c r="A281" s="4" t="s">
        <v>2489</v>
      </c>
      <c r="B281" s="2" t="s">
        <v>2487</v>
      </c>
      <c r="C281" s="2" t="s">
        <v>2488</v>
      </c>
      <c r="D281" s="5" t="s">
        <v>2490</v>
      </c>
      <c r="E281" s="4" t="s">
        <v>2491</v>
      </c>
      <c r="F281" s="6">
        <v>14271949</v>
      </c>
      <c r="G281" s="3">
        <v>14271949</v>
      </c>
      <c r="H281" s="7">
        <v>733004722820</v>
      </c>
      <c r="I281" s="8" t="s">
        <v>2086</v>
      </c>
      <c r="J281" s="4">
        <v>1</v>
      </c>
      <c r="K281" s="9">
        <v>25.99</v>
      </c>
      <c r="L281" s="9">
        <v>25.99</v>
      </c>
      <c r="M281" s="4" t="s">
        <v>3193</v>
      </c>
      <c r="N281" s="4" t="s">
        <v>2530</v>
      </c>
      <c r="O281" s="4"/>
      <c r="P281" s="4" t="s">
        <v>2503</v>
      </c>
      <c r="Q281" s="4" t="s">
        <v>2504</v>
      </c>
      <c r="R281" s="4"/>
      <c r="S281" s="4"/>
      <c r="T281" s="4" t="str">
        <f>HYPERLINK("http://slimages.macys.com/is/image/MCY/19977902 ")</f>
        <v xml:space="preserve">http://slimages.macys.com/is/image/MCY/19977902 </v>
      </c>
    </row>
    <row r="282" spans="1:20" ht="15" customHeight="1" x14ac:dyDescent="0.25">
      <c r="A282" s="4" t="s">
        <v>2489</v>
      </c>
      <c r="B282" s="2" t="s">
        <v>2487</v>
      </c>
      <c r="C282" s="2" t="s">
        <v>2488</v>
      </c>
      <c r="D282" s="5" t="s">
        <v>2490</v>
      </c>
      <c r="E282" s="4" t="s">
        <v>2491</v>
      </c>
      <c r="F282" s="6">
        <v>14271949</v>
      </c>
      <c r="G282" s="3">
        <v>14271949</v>
      </c>
      <c r="H282" s="7">
        <v>195883922980</v>
      </c>
      <c r="I282" s="8" t="s">
        <v>1258</v>
      </c>
      <c r="J282" s="4">
        <v>2</v>
      </c>
      <c r="K282" s="9">
        <v>8.31</v>
      </c>
      <c r="L282" s="9">
        <v>16.62</v>
      </c>
      <c r="M282" s="4" t="s">
        <v>3158</v>
      </c>
      <c r="N282" s="4" t="s">
        <v>2508</v>
      </c>
      <c r="O282" s="4">
        <v>5</v>
      </c>
      <c r="P282" s="4" t="s">
        <v>2506</v>
      </c>
      <c r="Q282" s="4" t="s">
        <v>2527</v>
      </c>
      <c r="R282" s="4"/>
      <c r="S282" s="4"/>
      <c r="T282" s="4" t="str">
        <f>HYPERLINK("http://slimages.macys.com/is/image/MCY/20905079 ")</f>
        <v xml:space="preserve">http://slimages.macys.com/is/image/MCY/20905079 </v>
      </c>
    </row>
    <row r="283" spans="1:20" ht="15" customHeight="1" x14ac:dyDescent="0.25">
      <c r="A283" s="4" t="s">
        <v>2489</v>
      </c>
      <c r="B283" s="2" t="s">
        <v>2487</v>
      </c>
      <c r="C283" s="2" t="s">
        <v>2488</v>
      </c>
      <c r="D283" s="5" t="s">
        <v>2490</v>
      </c>
      <c r="E283" s="4" t="s">
        <v>2491</v>
      </c>
      <c r="F283" s="6">
        <v>14271949</v>
      </c>
      <c r="G283" s="3">
        <v>14271949</v>
      </c>
      <c r="H283" s="7">
        <v>887685990204</v>
      </c>
      <c r="I283" s="8" t="s">
        <v>501</v>
      </c>
      <c r="J283" s="4">
        <v>2</v>
      </c>
      <c r="K283" s="9">
        <v>65</v>
      </c>
      <c r="L283" s="9">
        <v>130</v>
      </c>
      <c r="M283" s="4">
        <v>323713069004</v>
      </c>
      <c r="N283" s="4" t="s">
        <v>2731</v>
      </c>
      <c r="O283" s="4" t="s">
        <v>2519</v>
      </c>
      <c r="P283" s="4" t="s">
        <v>2615</v>
      </c>
      <c r="Q283" s="4" t="s">
        <v>2616</v>
      </c>
      <c r="R283" s="4"/>
      <c r="S283" s="4"/>
      <c r="T283" s="4" t="str">
        <f>HYPERLINK("http://slimages.macys.com/is/image/MCY/20342245 ")</f>
        <v xml:space="preserve">http://slimages.macys.com/is/image/MCY/20342245 </v>
      </c>
    </row>
    <row r="284" spans="1:20" ht="15" customHeight="1" x14ac:dyDescent="0.25">
      <c r="A284" s="4" t="s">
        <v>2489</v>
      </c>
      <c r="B284" s="2" t="s">
        <v>2487</v>
      </c>
      <c r="C284" s="2" t="s">
        <v>2488</v>
      </c>
      <c r="D284" s="5" t="s">
        <v>2490</v>
      </c>
      <c r="E284" s="4" t="s">
        <v>2491</v>
      </c>
      <c r="F284" s="6">
        <v>14271949</v>
      </c>
      <c r="G284" s="3">
        <v>14271949</v>
      </c>
      <c r="H284" s="7">
        <v>195958054202</v>
      </c>
      <c r="I284" s="8" t="s">
        <v>502</v>
      </c>
      <c r="J284" s="4">
        <v>2</v>
      </c>
      <c r="K284" s="9">
        <v>24.99</v>
      </c>
      <c r="L284" s="9">
        <v>49.98</v>
      </c>
      <c r="M284" s="4" t="s">
        <v>3027</v>
      </c>
      <c r="N284" s="4" t="s">
        <v>2544</v>
      </c>
      <c r="O284" s="4" t="s">
        <v>2493</v>
      </c>
      <c r="P284" s="4" t="s">
        <v>2740</v>
      </c>
      <c r="Q284" s="4" t="s">
        <v>2864</v>
      </c>
      <c r="R284" s="4"/>
      <c r="S284" s="4"/>
      <c r="T284" s="4" t="str">
        <f>HYPERLINK("http://slimages.macys.com/is/image/MCY/20123026 ")</f>
        <v xml:space="preserve">http://slimages.macys.com/is/image/MCY/20123026 </v>
      </c>
    </row>
    <row r="285" spans="1:20" ht="15" customHeight="1" x14ac:dyDescent="0.25">
      <c r="A285" s="4" t="s">
        <v>2489</v>
      </c>
      <c r="B285" s="2" t="s">
        <v>2487</v>
      </c>
      <c r="C285" s="2" t="s">
        <v>2488</v>
      </c>
      <c r="D285" s="5" t="s">
        <v>2490</v>
      </c>
      <c r="E285" s="4" t="s">
        <v>2491</v>
      </c>
      <c r="F285" s="6">
        <v>14271949</v>
      </c>
      <c r="G285" s="3">
        <v>14271949</v>
      </c>
      <c r="H285" s="7">
        <v>194257616913</v>
      </c>
      <c r="I285" s="8" t="s">
        <v>1836</v>
      </c>
      <c r="J285" s="4">
        <v>1</v>
      </c>
      <c r="K285" s="9">
        <v>12.99</v>
      </c>
      <c r="L285" s="9">
        <v>12.99</v>
      </c>
      <c r="M285" s="4" t="s">
        <v>1837</v>
      </c>
      <c r="N285" s="4" t="s">
        <v>2561</v>
      </c>
      <c r="O285" s="4" t="s">
        <v>2671</v>
      </c>
      <c r="P285" s="4" t="s">
        <v>2619</v>
      </c>
      <c r="Q285" s="4" t="s">
        <v>2500</v>
      </c>
      <c r="R285" s="4"/>
      <c r="S285" s="4"/>
      <c r="T285" s="4"/>
    </row>
    <row r="286" spans="1:20" ht="15" customHeight="1" x14ac:dyDescent="0.25">
      <c r="A286" s="4" t="s">
        <v>2489</v>
      </c>
      <c r="B286" s="2" t="s">
        <v>2487</v>
      </c>
      <c r="C286" s="2" t="s">
        <v>2488</v>
      </c>
      <c r="D286" s="5" t="s">
        <v>2490</v>
      </c>
      <c r="E286" s="4" t="s">
        <v>2491</v>
      </c>
      <c r="F286" s="6">
        <v>14271949</v>
      </c>
      <c r="G286" s="3">
        <v>14271949</v>
      </c>
      <c r="H286" s="7">
        <v>733003926687</v>
      </c>
      <c r="I286" s="8" t="s">
        <v>3233</v>
      </c>
      <c r="J286" s="4">
        <v>4</v>
      </c>
      <c r="K286" s="9">
        <v>6.99</v>
      </c>
      <c r="L286" s="9">
        <v>27.96</v>
      </c>
      <c r="M286" s="4" t="s">
        <v>2941</v>
      </c>
      <c r="N286" s="4" t="s">
        <v>2682</v>
      </c>
      <c r="O286" s="4" t="s">
        <v>2601</v>
      </c>
      <c r="P286" s="4" t="s">
        <v>2503</v>
      </c>
      <c r="Q286" s="4" t="s">
        <v>2504</v>
      </c>
      <c r="R286" s="4"/>
      <c r="S286" s="4"/>
      <c r="T286" s="4" t="str">
        <f>HYPERLINK("http://slimages.macys.com/is/image/MCY/19507809 ")</f>
        <v xml:space="preserve">http://slimages.macys.com/is/image/MCY/19507809 </v>
      </c>
    </row>
    <row r="287" spans="1:20" ht="15" customHeight="1" x14ac:dyDescent="0.25">
      <c r="A287" s="4" t="s">
        <v>2489</v>
      </c>
      <c r="B287" s="2" t="s">
        <v>2487</v>
      </c>
      <c r="C287" s="2" t="s">
        <v>2488</v>
      </c>
      <c r="D287" s="5" t="s">
        <v>2490</v>
      </c>
      <c r="E287" s="4" t="s">
        <v>2491</v>
      </c>
      <c r="F287" s="6">
        <v>14271949</v>
      </c>
      <c r="G287" s="3">
        <v>14271949</v>
      </c>
      <c r="H287" s="7">
        <v>194135516281</v>
      </c>
      <c r="I287" s="8" t="s">
        <v>503</v>
      </c>
      <c r="J287" s="4">
        <v>1</v>
      </c>
      <c r="K287" s="9">
        <v>10.220000000000001</v>
      </c>
      <c r="L287" s="9">
        <v>10.220000000000001</v>
      </c>
      <c r="M287" s="4" t="s">
        <v>504</v>
      </c>
      <c r="N287" s="4" t="s">
        <v>2531</v>
      </c>
      <c r="O287" s="4" t="s">
        <v>2587</v>
      </c>
      <c r="P287" s="4" t="s">
        <v>2657</v>
      </c>
      <c r="Q287" s="4" t="s">
        <v>2658</v>
      </c>
      <c r="R287" s="4"/>
      <c r="S287" s="4"/>
      <c r="T287" s="4" t="str">
        <f>HYPERLINK("http://slimages.macys.com/is/image/MCY/19847031 ")</f>
        <v xml:space="preserve">http://slimages.macys.com/is/image/MCY/19847031 </v>
      </c>
    </row>
    <row r="288" spans="1:20" ht="15" customHeight="1" x14ac:dyDescent="0.25">
      <c r="A288" s="4" t="s">
        <v>2489</v>
      </c>
      <c r="B288" s="2" t="s">
        <v>2487</v>
      </c>
      <c r="C288" s="2" t="s">
        <v>2488</v>
      </c>
      <c r="D288" s="5" t="s">
        <v>2490</v>
      </c>
      <c r="E288" s="4" t="s">
        <v>2491</v>
      </c>
      <c r="F288" s="6">
        <v>14271949</v>
      </c>
      <c r="G288" s="3">
        <v>14271949</v>
      </c>
      <c r="H288" s="7">
        <v>195238079178</v>
      </c>
      <c r="I288" s="8" t="s">
        <v>505</v>
      </c>
      <c r="J288" s="4">
        <v>1</v>
      </c>
      <c r="K288" s="9">
        <v>19.989999999999998</v>
      </c>
      <c r="L288" s="9">
        <v>19.989999999999998</v>
      </c>
      <c r="M288" s="4">
        <v>848196</v>
      </c>
      <c r="N288" s="4" t="s">
        <v>2548</v>
      </c>
      <c r="O288" s="4" t="s">
        <v>2498</v>
      </c>
      <c r="P288" s="4" t="s">
        <v>2619</v>
      </c>
      <c r="Q288" s="4" t="s">
        <v>2568</v>
      </c>
      <c r="R288" s="4"/>
      <c r="S288" s="4"/>
      <c r="T288" s="4" t="str">
        <f>HYPERLINK("http://slimages.macys.com/is/image/MCY/21542882 ")</f>
        <v xml:space="preserve">http://slimages.macys.com/is/image/MCY/21542882 </v>
      </c>
    </row>
    <row r="289" spans="1:20" ht="15" customHeight="1" x14ac:dyDescent="0.25">
      <c r="A289" s="4" t="s">
        <v>2489</v>
      </c>
      <c r="B289" s="2" t="s">
        <v>2487</v>
      </c>
      <c r="C289" s="2" t="s">
        <v>2488</v>
      </c>
      <c r="D289" s="5" t="s">
        <v>2490</v>
      </c>
      <c r="E289" s="4" t="s">
        <v>2491</v>
      </c>
      <c r="F289" s="6">
        <v>14271949</v>
      </c>
      <c r="G289" s="3">
        <v>14271949</v>
      </c>
      <c r="H289" s="7">
        <v>194257392404</v>
      </c>
      <c r="I289" s="8" t="s">
        <v>3355</v>
      </c>
      <c r="J289" s="4">
        <v>1</v>
      </c>
      <c r="K289" s="9">
        <v>16.989999999999998</v>
      </c>
      <c r="L289" s="9">
        <v>16.989999999999998</v>
      </c>
      <c r="M289" s="4" t="s">
        <v>2712</v>
      </c>
      <c r="N289" s="4" t="s">
        <v>2497</v>
      </c>
      <c r="O289" s="4">
        <v>5</v>
      </c>
      <c r="P289" s="4" t="s">
        <v>2499</v>
      </c>
      <c r="Q289" s="4" t="s">
        <v>2525</v>
      </c>
      <c r="R289" s="4"/>
      <c r="S289" s="4"/>
      <c r="T289" s="4" t="str">
        <f>HYPERLINK("http://slimages.macys.com/is/image/MCY/19065667 ")</f>
        <v xml:space="preserve">http://slimages.macys.com/is/image/MCY/19065667 </v>
      </c>
    </row>
    <row r="290" spans="1:20" ht="15" customHeight="1" x14ac:dyDescent="0.25">
      <c r="A290" s="4" t="s">
        <v>2489</v>
      </c>
      <c r="B290" s="2" t="s">
        <v>2487</v>
      </c>
      <c r="C290" s="2" t="s">
        <v>2488</v>
      </c>
      <c r="D290" s="5" t="s">
        <v>2490</v>
      </c>
      <c r="E290" s="4" t="s">
        <v>2491</v>
      </c>
      <c r="F290" s="6">
        <v>14271949</v>
      </c>
      <c r="G290" s="3">
        <v>14271949</v>
      </c>
      <c r="H290" s="7">
        <v>195883460635</v>
      </c>
      <c r="I290" s="8" t="s">
        <v>506</v>
      </c>
      <c r="J290" s="4">
        <v>1</v>
      </c>
      <c r="K290" s="9">
        <v>10.99</v>
      </c>
      <c r="L290" s="9">
        <v>10.99</v>
      </c>
      <c r="M290" s="4" t="s">
        <v>1220</v>
      </c>
      <c r="N290" s="4" t="s">
        <v>2728</v>
      </c>
      <c r="O290" s="4">
        <v>4</v>
      </c>
      <c r="P290" s="4" t="s">
        <v>2536</v>
      </c>
      <c r="Q290" s="4" t="s">
        <v>2944</v>
      </c>
      <c r="R290" s="4"/>
      <c r="S290" s="4"/>
      <c r="T290" s="4" t="str">
        <f>HYPERLINK("http://slimages.macys.com/is/image/MCY/20191103 ")</f>
        <v xml:space="preserve">http://slimages.macys.com/is/image/MCY/20191103 </v>
      </c>
    </row>
    <row r="291" spans="1:20" ht="15" customHeight="1" x14ac:dyDescent="0.25">
      <c r="A291" s="4" t="s">
        <v>2489</v>
      </c>
      <c r="B291" s="2" t="s">
        <v>2487</v>
      </c>
      <c r="C291" s="2" t="s">
        <v>2488</v>
      </c>
      <c r="D291" s="5" t="s">
        <v>2490</v>
      </c>
      <c r="E291" s="4" t="s">
        <v>2491</v>
      </c>
      <c r="F291" s="6">
        <v>14271949</v>
      </c>
      <c r="G291" s="3">
        <v>14271949</v>
      </c>
      <c r="H291" s="7">
        <v>633731114960</v>
      </c>
      <c r="I291" s="8" t="s">
        <v>1842</v>
      </c>
      <c r="J291" s="4">
        <v>1</v>
      </c>
      <c r="K291" s="9">
        <v>17.989999999999998</v>
      </c>
      <c r="L291" s="9">
        <v>17.989999999999998</v>
      </c>
      <c r="M291" s="4" t="s">
        <v>1843</v>
      </c>
      <c r="N291" s="4" t="s">
        <v>2664</v>
      </c>
      <c r="O291" s="4" t="s">
        <v>2498</v>
      </c>
      <c r="P291" s="4" t="s">
        <v>2499</v>
      </c>
      <c r="Q291" s="4" t="s">
        <v>2752</v>
      </c>
      <c r="R291" s="4" t="s">
        <v>2552</v>
      </c>
      <c r="S291" s="4" t="s">
        <v>2834</v>
      </c>
      <c r="T291" s="4" t="str">
        <f>HYPERLINK("http://slimages.macys.com/is/image/MCY/14565373 ")</f>
        <v xml:space="preserve">http://slimages.macys.com/is/image/MCY/14565373 </v>
      </c>
    </row>
    <row r="292" spans="1:20" ht="15" customHeight="1" x14ac:dyDescent="0.25">
      <c r="A292" s="4" t="s">
        <v>2489</v>
      </c>
      <c r="B292" s="2" t="s">
        <v>2487</v>
      </c>
      <c r="C292" s="2" t="s">
        <v>2488</v>
      </c>
      <c r="D292" s="5" t="s">
        <v>2490</v>
      </c>
      <c r="E292" s="4" t="s">
        <v>2491</v>
      </c>
      <c r="F292" s="6">
        <v>14271949</v>
      </c>
      <c r="G292" s="3">
        <v>14271949</v>
      </c>
      <c r="H292" s="7">
        <v>195883642277</v>
      </c>
      <c r="I292" s="8" t="s">
        <v>507</v>
      </c>
      <c r="J292" s="4">
        <v>1</v>
      </c>
      <c r="K292" s="9">
        <v>7.99</v>
      </c>
      <c r="L292" s="9">
        <v>7.99</v>
      </c>
      <c r="M292" s="4" t="s">
        <v>1774</v>
      </c>
      <c r="N292" s="4" t="s">
        <v>2526</v>
      </c>
      <c r="O292" s="4">
        <v>4</v>
      </c>
      <c r="P292" s="4" t="s">
        <v>2506</v>
      </c>
      <c r="Q292" s="4" t="s">
        <v>2527</v>
      </c>
      <c r="R292" s="4"/>
      <c r="S292" s="4"/>
      <c r="T292" s="4" t="str">
        <f>HYPERLINK("http://slimages.macys.com/is/image/MCY/20726220 ")</f>
        <v xml:space="preserve">http://slimages.macys.com/is/image/MCY/20726220 </v>
      </c>
    </row>
    <row r="293" spans="1:20" ht="15" customHeight="1" x14ac:dyDescent="0.25">
      <c r="A293" s="4" t="s">
        <v>2489</v>
      </c>
      <c r="B293" s="2" t="s">
        <v>2487</v>
      </c>
      <c r="C293" s="2" t="s">
        <v>2488</v>
      </c>
      <c r="D293" s="5" t="s">
        <v>2490</v>
      </c>
      <c r="E293" s="4" t="s">
        <v>2491</v>
      </c>
      <c r="F293" s="6">
        <v>14271949</v>
      </c>
      <c r="G293" s="3">
        <v>14271949</v>
      </c>
      <c r="H293" s="7">
        <v>194257261540</v>
      </c>
      <c r="I293" s="8" t="s">
        <v>508</v>
      </c>
      <c r="J293" s="4">
        <v>1</v>
      </c>
      <c r="K293" s="9">
        <v>8.99</v>
      </c>
      <c r="L293" s="9">
        <v>8.99</v>
      </c>
      <c r="M293" s="4" t="s">
        <v>3442</v>
      </c>
      <c r="N293" s="4" t="s">
        <v>2523</v>
      </c>
      <c r="O293" s="4">
        <v>5</v>
      </c>
      <c r="P293" s="4" t="s">
        <v>2499</v>
      </c>
      <c r="Q293" s="4" t="s">
        <v>2525</v>
      </c>
      <c r="R293" s="4"/>
      <c r="S293" s="4"/>
      <c r="T293" s="4" t="str">
        <f>HYPERLINK("http://slimages.macys.com/is/image/MCY/18664018 ")</f>
        <v xml:space="preserve">http://slimages.macys.com/is/image/MCY/18664018 </v>
      </c>
    </row>
    <row r="294" spans="1:20" ht="15" customHeight="1" x14ac:dyDescent="0.25">
      <c r="A294" s="4" t="s">
        <v>2489</v>
      </c>
      <c r="B294" s="2" t="s">
        <v>2487</v>
      </c>
      <c r="C294" s="2" t="s">
        <v>2488</v>
      </c>
      <c r="D294" s="5" t="s">
        <v>2490</v>
      </c>
      <c r="E294" s="4" t="s">
        <v>2491</v>
      </c>
      <c r="F294" s="6">
        <v>14271949</v>
      </c>
      <c r="G294" s="3">
        <v>14271949</v>
      </c>
      <c r="H294" s="7">
        <v>194257621641</v>
      </c>
      <c r="I294" s="8" t="s">
        <v>509</v>
      </c>
      <c r="J294" s="4">
        <v>1</v>
      </c>
      <c r="K294" s="9">
        <v>16.989999999999998</v>
      </c>
      <c r="L294" s="9">
        <v>16.989999999999998</v>
      </c>
      <c r="M294" s="4" t="s">
        <v>2712</v>
      </c>
      <c r="N294" s="4" t="s">
        <v>2523</v>
      </c>
      <c r="O294" s="4">
        <v>6</v>
      </c>
      <c r="P294" s="4" t="s">
        <v>2499</v>
      </c>
      <c r="Q294" s="4" t="s">
        <v>2525</v>
      </c>
      <c r="R294" s="4"/>
      <c r="S294" s="4"/>
      <c r="T294" s="4" t="str">
        <f>HYPERLINK("http://slimages.macys.com/is/image/MCY/20417775 ")</f>
        <v xml:space="preserve">http://slimages.macys.com/is/image/MCY/20417775 </v>
      </c>
    </row>
    <row r="295" spans="1:20" ht="15" customHeight="1" x14ac:dyDescent="0.25">
      <c r="A295" s="4" t="s">
        <v>2489</v>
      </c>
      <c r="B295" s="2" t="s">
        <v>2487</v>
      </c>
      <c r="C295" s="2" t="s">
        <v>2488</v>
      </c>
      <c r="D295" s="5" t="s">
        <v>2490</v>
      </c>
      <c r="E295" s="4" t="s">
        <v>2491</v>
      </c>
      <c r="F295" s="6">
        <v>14271949</v>
      </c>
      <c r="G295" s="3">
        <v>14271949</v>
      </c>
      <c r="H295" s="7">
        <v>194931204481</v>
      </c>
      <c r="I295" s="8" t="s">
        <v>1861</v>
      </c>
      <c r="J295" s="4">
        <v>2</v>
      </c>
      <c r="K295" s="9">
        <v>19.8</v>
      </c>
      <c r="L295" s="9">
        <v>39.6</v>
      </c>
      <c r="M295" s="4" t="s">
        <v>1862</v>
      </c>
      <c r="N295" s="4" t="s">
        <v>2531</v>
      </c>
      <c r="O295" s="4"/>
      <c r="P295" s="4" t="s">
        <v>2622</v>
      </c>
      <c r="Q295" s="4" t="s">
        <v>2643</v>
      </c>
      <c r="R295" s="4"/>
      <c r="S295" s="4"/>
      <c r="T295" s="4" t="str">
        <f>HYPERLINK("http://slimages.macys.com/is/image/MCY/19992291 ")</f>
        <v xml:space="preserve">http://slimages.macys.com/is/image/MCY/19992291 </v>
      </c>
    </row>
    <row r="296" spans="1:20" ht="15" customHeight="1" x14ac:dyDescent="0.25">
      <c r="A296" s="4" t="s">
        <v>2489</v>
      </c>
      <c r="B296" s="2" t="s">
        <v>2487</v>
      </c>
      <c r="C296" s="2" t="s">
        <v>2488</v>
      </c>
      <c r="D296" s="5" t="s">
        <v>2490</v>
      </c>
      <c r="E296" s="4" t="s">
        <v>2491</v>
      </c>
      <c r="F296" s="6">
        <v>14271949</v>
      </c>
      <c r="G296" s="3">
        <v>14271949</v>
      </c>
      <c r="H296" s="7">
        <v>762120121262</v>
      </c>
      <c r="I296" s="8" t="s">
        <v>510</v>
      </c>
      <c r="J296" s="4">
        <v>1</v>
      </c>
      <c r="K296" s="9">
        <v>5.99</v>
      </c>
      <c r="L296" s="9">
        <v>5.99</v>
      </c>
      <c r="M296" s="4" t="s">
        <v>511</v>
      </c>
      <c r="N296" s="4" t="s">
        <v>2561</v>
      </c>
      <c r="O296" s="4" t="s">
        <v>2601</v>
      </c>
      <c r="P296" s="4" t="s">
        <v>2503</v>
      </c>
      <c r="Q296" s="4" t="s">
        <v>2504</v>
      </c>
      <c r="R296" s="4"/>
      <c r="S296" s="4"/>
      <c r="T296" s="4" t="str">
        <f>HYPERLINK("http://slimages.macys.com/is/image/MCY/20386010 ")</f>
        <v xml:space="preserve">http://slimages.macys.com/is/image/MCY/20386010 </v>
      </c>
    </row>
    <row r="297" spans="1:20" ht="15" customHeight="1" x14ac:dyDescent="0.25">
      <c r="A297" s="4" t="s">
        <v>2489</v>
      </c>
      <c r="B297" s="2" t="s">
        <v>2487</v>
      </c>
      <c r="C297" s="2" t="s">
        <v>2488</v>
      </c>
      <c r="D297" s="5" t="s">
        <v>2490</v>
      </c>
      <c r="E297" s="4" t="s">
        <v>2491</v>
      </c>
      <c r="F297" s="6">
        <v>14271949</v>
      </c>
      <c r="G297" s="3">
        <v>14271949</v>
      </c>
      <c r="H297" s="7">
        <v>733002411375</v>
      </c>
      <c r="I297" s="8" t="s">
        <v>512</v>
      </c>
      <c r="J297" s="4">
        <v>1</v>
      </c>
      <c r="K297" s="9">
        <v>17.989999999999998</v>
      </c>
      <c r="L297" s="9">
        <v>17.989999999999998</v>
      </c>
      <c r="M297" s="4" t="s">
        <v>1955</v>
      </c>
      <c r="N297" s="4" t="s">
        <v>2501</v>
      </c>
      <c r="O297" s="4" t="s">
        <v>2629</v>
      </c>
      <c r="P297" s="4" t="s">
        <v>2520</v>
      </c>
      <c r="Q297" s="4" t="s">
        <v>2528</v>
      </c>
      <c r="R297" s="4"/>
      <c r="S297" s="4"/>
      <c r="T297" s="4" t="str">
        <f>HYPERLINK("http://slimages.macys.com/is/image/MCY/18798014 ")</f>
        <v xml:space="preserve">http://slimages.macys.com/is/image/MCY/18798014 </v>
      </c>
    </row>
    <row r="298" spans="1:20" ht="15" customHeight="1" x14ac:dyDescent="0.25">
      <c r="A298" s="4" t="s">
        <v>2489</v>
      </c>
      <c r="B298" s="2" t="s">
        <v>2487</v>
      </c>
      <c r="C298" s="2" t="s">
        <v>2488</v>
      </c>
      <c r="D298" s="5" t="s">
        <v>2490</v>
      </c>
      <c r="E298" s="4" t="s">
        <v>2491</v>
      </c>
      <c r="F298" s="6">
        <v>14271949</v>
      </c>
      <c r="G298" s="3">
        <v>14271949</v>
      </c>
      <c r="H298" s="7">
        <v>733004723636</v>
      </c>
      <c r="I298" s="8" t="s">
        <v>1813</v>
      </c>
      <c r="J298" s="4">
        <v>1</v>
      </c>
      <c r="K298" s="9">
        <v>12.99</v>
      </c>
      <c r="L298" s="9">
        <v>12.99</v>
      </c>
      <c r="M298" s="4" t="s">
        <v>3447</v>
      </c>
      <c r="N298" s="4" t="s">
        <v>2565</v>
      </c>
      <c r="O298" s="4" t="s">
        <v>2601</v>
      </c>
      <c r="P298" s="4" t="s">
        <v>2503</v>
      </c>
      <c r="Q298" s="4" t="s">
        <v>2504</v>
      </c>
      <c r="R298" s="4"/>
      <c r="S298" s="4"/>
      <c r="T298" s="4" t="str">
        <f>HYPERLINK("http://slimages.macys.com/is/image/MCY/19977913 ")</f>
        <v xml:space="preserve">http://slimages.macys.com/is/image/MCY/19977913 </v>
      </c>
    </row>
    <row r="299" spans="1:20" ht="15" customHeight="1" x14ac:dyDescent="0.25">
      <c r="A299" s="4" t="s">
        <v>2489</v>
      </c>
      <c r="B299" s="2" t="s">
        <v>2487</v>
      </c>
      <c r="C299" s="2" t="s">
        <v>2488</v>
      </c>
      <c r="D299" s="5" t="s">
        <v>2490</v>
      </c>
      <c r="E299" s="4" t="s">
        <v>2491</v>
      </c>
      <c r="F299" s="6">
        <v>14271949</v>
      </c>
      <c r="G299" s="3">
        <v>14271949</v>
      </c>
      <c r="H299" s="7">
        <v>733003924331</v>
      </c>
      <c r="I299" s="8" t="s">
        <v>1392</v>
      </c>
      <c r="J299" s="4">
        <v>1</v>
      </c>
      <c r="K299" s="9">
        <v>6.99</v>
      </c>
      <c r="L299" s="9">
        <v>6.99</v>
      </c>
      <c r="M299" s="4" t="s">
        <v>2786</v>
      </c>
      <c r="N299" s="4" t="s">
        <v>2600</v>
      </c>
      <c r="O299" s="4" t="s">
        <v>2559</v>
      </c>
      <c r="P299" s="4" t="s">
        <v>2503</v>
      </c>
      <c r="Q299" s="4" t="s">
        <v>2504</v>
      </c>
      <c r="R299" s="4"/>
      <c r="S299" s="4"/>
      <c r="T299" s="4" t="str">
        <f>HYPERLINK("http://slimages.macys.com/is/image/MCY/19507928 ")</f>
        <v xml:space="preserve">http://slimages.macys.com/is/image/MCY/19507928 </v>
      </c>
    </row>
    <row r="300" spans="1:20" ht="15" customHeight="1" x14ac:dyDescent="0.25">
      <c r="A300" s="4" t="s">
        <v>2489</v>
      </c>
      <c r="B300" s="2" t="s">
        <v>2487</v>
      </c>
      <c r="C300" s="2" t="s">
        <v>2488</v>
      </c>
      <c r="D300" s="5" t="s">
        <v>2490</v>
      </c>
      <c r="E300" s="4" t="s">
        <v>2491</v>
      </c>
      <c r="F300" s="6">
        <v>14271949</v>
      </c>
      <c r="G300" s="3">
        <v>14271949</v>
      </c>
      <c r="H300" s="7">
        <v>733004286827</v>
      </c>
      <c r="I300" s="8" t="s">
        <v>513</v>
      </c>
      <c r="J300" s="4">
        <v>1</v>
      </c>
      <c r="K300" s="9">
        <v>9.99</v>
      </c>
      <c r="L300" s="9">
        <v>9.99</v>
      </c>
      <c r="M300" s="4" t="s">
        <v>2797</v>
      </c>
      <c r="N300" s="4" t="s">
        <v>2600</v>
      </c>
      <c r="O300" s="4" t="s">
        <v>2566</v>
      </c>
      <c r="P300" s="4" t="s">
        <v>2503</v>
      </c>
      <c r="Q300" s="4" t="s">
        <v>2504</v>
      </c>
      <c r="R300" s="4"/>
      <c r="S300" s="4"/>
      <c r="T300" s="4" t="str">
        <f>HYPERLINK("http://slimages.macys.com/is/image/MCY/19754322 ")</f>
        <v xml:space="preserve">http://slimages.macys.com/is/image/MCY/19754322 </v>
      </c>
    </row>
    <row r="301" spans="1:20" ht="15" customHeight="1" x14ac:dyDescent="0.25">
      <c r="A301" s="4" t="s">
        <v>2489</v>
      </c>
      <c r="B301" s="2" t="s">
        <v>2487</v>
      </c>
      <c r="C301" s="2" t="s">
        <v>2488</v>
      </c>
      <c r="D301" s="5" t="s">
        <v>2490</v>
      </c>
      <c r="E301" s="4" t="s">
        <v>2491</v>
      </c>
      <c r="F301" s="6">
        <v>14271949</v>
      </c>
      <c r="G301" s="3">
        <v>14271949</v>
      </c>
      <c r="H301" s="7">
        <v>733003926670</v>
      </c>
      <c r="I301" s="8" t="s">
        <v>3225</v>
      </c>
      <c r="J301" s="4">
        <v>4</v>
      </c>
      <c r="K301" s="9">
        <v>6.99</v>
      </c>
      <c r="L301" s="9">
        <v>27.96</v>
      </c>
      <c r="M301" s="4" t="s">
        <v>2941</v>
      </c>
      <c r="N301" s="4" t="s">
        <v>2682</v>
      </c>
      <c r="O301" s="4" t="s">
        <v>2559</v>
      </c>
      <c r="P301" s="4" t="s">
        <v>2503</v>
      </c>
      <c r="Q301" s="4" t="s">
        <v>2504</v>
      </c>
      <c r="R301" s="4"/>
      <c r="S301" s="4"/>
      <c r="T301" s="4" t="str">
        <f>HYPERLINK("http://slimages.macys.com/is/image/MCY/19507809 ")</f>
        <v xml:space="preserve">http://slimages.macys.com/is/image/MCY/19507809 </v>
      </c>
    </row>
    <row r="302" spans="1:20" ht="15" customHeight="1" x14ac:dyDescent="0.25">
      <c r="A302" s="4" t="s">
        <v>2489</v>
      </c>
      <c r="B302" s="2" t="s">
        <v>2487</v>
      </c>
      <c r="C302" s="2" t="s">
        <v>2488</v>
      </c>
      <c r="D302" s="5" t="s">
        <v>2490</v>
      </c>
      <c r="E302" s="4" t="s">
        <v>2491</v>
      </c>
      <c r="F302" s="6">
        <v>14271949</v>
      </c>
      <c r="G302" s="3">
        <v>14271949</v>
      </c>
      <c r="H302" s="7">
        <v>666980513895</v>
      </c>
      <c r="I302" s="8" t="s">
        <v>2193</v>
      </c>
      <c r="J302" s="4">
        <v>1</v>
      </c>
      <c r="K302" s="9">
        <v>12.28</v>
      </c>
      <c r="L302" s="9">
        <v>12.28</v>
      </c>
      <c r="M302" s="4" t="s">
        <v>2083</v>
      </c>
      <c r="N302" s="4" t="s">
        <v>2501</v>
      </c>
      <c r="O302" s="4"/>
      <c r="P302" s="4" t="s">
        <v>2622</v>
      </c>
      <c r="Q302" s="4" t="s">
        <v>2623</v>
      </c>
      <c r="R302" s="4" t="s">
        <v>2552</v>
      </c>
      <c r="S302" s="4" t="s">
        <v>2624</v>
      </c>
      <c r="T302" s="4" t="str">
        <f>HYPERLINK("http://slimages.macys.com/is/image/MCY/13987388 ")</f>
        <v xml:space="preserve">http://slimages.macys.com/is/image/MCY/13987388 </v>
      </c>
    </row>
    <row r="303" spans="1:20" ht="15" customHeight="1" x14ac:dyDescent="0.25">
      <c r="A303" s="4" t="s">
        <v>2489</v>
      </c>
      <c r="B303" s="2" t="s">
        <v>2487</v>
      </c>
      <c r="C303" s="2" t="s">
        <v>2488</v>
      </c>
      <c r="D303" s="5" t="s">
        <v>2490</v>
      </c>
      <c r="E303" s="4" t="s">
        <v>2491</v>
      </c>
      <c r="F303" s="6">
        <v>14271949</v>
      </c>
      <c r="G303" s="3">
        <v>14271949</v>
      </c>
      <c r="H303" s="7">
        <v>733004778971</v>
      </c>
      <c r="I303" s="8" t="s">
        <v>1603</v>
      </c>
      <c r="J303" s="4">
        <v>1</v>
      </c>
      <c r="K303" s="9">
        <v>7.99</v>
      </c>
      <c r="L303" s="9">
        <v>7.99</v>
      </c>
      <c r="M303" s="4" t="s">
        <v>1592</v>
      </c>
      <c r="N303" s="4" t="s">
        <v>2501</v>
      </c>
      <c r="O303" s="4" t="s">
        <v>2650</v>
      </c>
      <c r="P303" s="4" t="s">
        <v>2602</v>
      </c>
      <c r="Q303" s="4" t="s">
        <v>2528</v>
      </c>
      <c r="R303" s="4"/>
      <c r="S303" s="4"/>
      <c r="T303" s="4" t="str">
        <f>HYPERLINK("http://slimages.macys.com/is/image/MCY/20450140 ")</f>
        <v xml:space="preserve">http://slimages.macys.com/is/image/MCY/20450140 </v>
      </c>
    </row>
    <row r="304" spans="1:20" ht="15" customHeight="1" x14ac:dyDescent="0.25">
      <c r="A304" s="4" t="s">
        <v>2489</v>
      </c>
      <c r="B304" s="2" t="s">
        <v>2487</v>
      </c>
      <c r="C304" s="2" t="s">
        <v>2488</v>
      </c>
      <c r="D304" s="5" t="s">
        <v>2490</v>
      </c>
      <c r="E304" s="4" t="s">
        <v>2491</v>
      </c>
      <c r="F304" s="6">
        <v>14271949</v>
      </c>
      <c r="G304" s="3">
        <v>14271949</v>
      </c>
      <c r="H304" s="7">
        <v>193188892830</v>
      </c>
      <c r="I304" s="8" t="s">
        <v>1229</v>
      </c>
      <c r="J304" s="4">
        <v>2</v>
      </c>
      <c r="K304" s="9">
        <v>26.99</v>
      </c>
      <c r="L304" s="9">
        <v>53.98</v>
      </c>
      <c r="M304" s="4" t="s">
        <v>2640</v>
      </c>
      <c r="N304" s="4" t="s">
        <v>2682</v>
      </c>
      <c r="O304" s="4"/>
      <c r="P304" s="4" t="s">
        <v>2550</v>
      </c>
      <c r="Q304" s="4" t="s">
        <v>2641</v>
      </c>
      <c r="R304" s="4"/>
      <c r="S304" s="4"/>
      <c r="T304" s="4" t="str">
        <f>HYPERLINK("http://slimages.macys.com/is/image/MCY/19575670 ")</f>
        <v xml:space="preserve">http://slimages.macys.com/is/image/MCY/19575670 </v>
      </c>
    </row>
    <row r="305" spans="1:20" ht="15" customHeight="1" x14ac:dyDescent="0.25">
      <c r="A305" s="4" t="s">
        <v>2489</v>
      </c>
      <c r="B305" s="2" t="s">
        <v>2487</v>
      </c>
      <c r="C305" s="2" t="s">
        <v>2488</v>
      </c>
      <c r="D305" s="5" t="s">
        <v>2490</v>
      </c>
      <c r="E305" s="4" t="s">
        <v>2491</v>
      </c>
      <c r="F305" s="6">
        <v>14271949</v>
      </c>
      <c r="G305" s="3">
        <v>14271949</v>
      </c>
      <c r="H305" s="7">
        <v>196027055489</v>
      </c>
      <c r="I305" s="8" t="s">
        <v>514</v>
      </c>
      <c r="J305" s="4">
        <v>26</v>
      </c>
      <c r="K305" s="9">
        <v>30.99</v>
      </c>
      <c r="L305" s="9">
        <v>805.74</v>
      </c>
      <c r="M305" s="4" t="s">
        <v>1681</v>
      </c>
      <c r="N305" s="4" t="s">
        <v>2544</v>
      </c>
      <c r="O305" s="4">
        <v>10</v>
      </c>
      <c r="P305" s="4" t="s">
        <v>2569</v>
      </c>
      <c r="Q305" s="4" t="s">
        <v>2590</v>
      </c>
      <c r="R305" s="4"/>
      <c r="S305" s="4"/>
      <c r="T305" s="4" t="str">
        <f>HYPERLINK("http://slimages.macys.com/is/image/MCY/20662525 ")</f>
        <v xml:space="preserve">http://slimages.macys.com/is/image/MCY/20662525 </v>
      </c>
    </row>
    <row r="306" spans="1:20" ht="15" customHeight="1" x14ac:dyDescent="0.25">
      <c r="A306" s="4" t="s">
        <v>2489</v>
      </c>
      <c r="B306" s="2" t="s">
        <v>2487</v>
      </c>
      <c r="C306" s="2" t="s">
        <v>2488</v>
      </c>
      <c r="D306" s="5" t="s">
        <v>2490</v>
      </c>
      <c r="E306" s="4" t="s">
        <v>2491</v>
      </c>
      <c r="F306" s="6">
        <v>14271949</v>
      </c>
      <c r="G306" s="3">
        <v>14271949</v>
      </c>
      <c r="H306" s="7">
        <v>194931205181</v>
      </c>
      <c r="I306" s="8" t="s">
        <v>1883</v>
      </c>
      <c r="J306" s="4">
        <v>1</v>
      </c>
      <c r="K306" s="9">
        <v>19.8</v>
      </c>
      <c r="L306" s="9">
        <v>19.8</v>
      </c>
      <c r="M306" s="4" t="s">
        <v>1887</v>
      </c>
      <c r="N306" s="4" t="s">
        <v>2531</v>
      </c>
      <c r="O306" s="4"/>
      <c r="P306" s="4" t="s">
        <v>2622</v>
      </c>
      <c r="Q306" s="4" t="s">
        <v>2643</v>
      </c>
      <c r="R306" s="4"/>
      <c r="S306" s="4"/>
      <c r="T306" s="4" t="str">
        <f>HYPERLINK("http://slimages.macys.com/is/image/MCY/19992022 ")</f>
        <v xml:space="preserve">http://slimages.macys.com/is/image/MCY/19992022 </v>
      </c>
    </row>
    <row r="307" spans="1:20" ht="15" customHeight="1" x14ac:dyDescent="0.25">
      <c r="A307" s="4" t="s">
        <v>2489</v>
      </c>
      <c r="B307" s="2" t="s">
        <v>2487</v>
      </c>
      <c r="C307" s="2" t="s">
        <v>2488</v>
      </c>
      <c r="D307" s="5" t="s">
        <v>2490</v>
      </c>
      <c r="E307" s="4" t="s">
        <v>2491</v>
      </c>
      <c r="F307" s="6">
        <v>14271949</v>
      </c>
      <c r="G307" s="3">
        <v>14271949</v>
      </c>
      <c r="H307" s="7">
        <v>733004884344</v>
      </c>
      <c r="I307" s="8" t="s">
        <v>515</v>
      </c>
      <c r="J307" s="4">
        <v>1</v>
      </c>
      <c r="K307" s="9">
        <v>6.99</v>
      </c>
      <c r="L307" s="9">
        <v>6.99</v>
      </c>
      <c r="M307" s="4" t="s">
        <v>1651</v>
      </c>
      <c r="N307" s="4" t="s">
        <v>3049</v>
      </c>
      <c r="O307" s="4" t="s">
        <v>2601</v>
      </c>
      <c r="P307" s="4" t="s">
        <v>2503</v>
      </c>
      <c r="Q307" s="4" t="s">
        <v>2504</v>
      </c>
      <c r="R307" s="4"/>
      <c r="S307" s="4"/>
      <c r="T307" s="4" t="str">
        <f>HYPERLINK("http://slimages.macys.com/is/image/MCY/1046188 ")</f>
        <v xml:space="preserve">http://slimages.macys.com/is/image/MCY/1046188 </v>
      </c>
    </row>
    <row r="308" spans="1:20" ht="15" customHeight="1" x14ac:dyDescent="0.25">
      <c r="A308" s="4" t="s">
        <v>2489</v>
      </c>
      <c r="B308" s="2" t="s">
        <v>2487</v>
      </c>
      <c r="C308" s="2" t="s">
        <v>2488</v>
      </c>
      <c r="D308" s="5" t="s">
        <v>2490</v>
      </c>
      <c r="E308" s="4" t="s">
        <v>2491</v>
      </c>
      <c r="F308" s="6">
        <v>14271949</v>
      </c>
      <c r="G308" s="3">
        <v>14271949</v>
      </c>
      <c r="H308" s="7">
        <v>194257500373</v>
      </c>
      <c r="I308" s="8" t="s">
        <v>1546</v>
      </c>
      <c r="J308" s="4">
        <v>1</v>
      </c>
      <c r="K308" s="9">
        <v>12.99</v>
      </c>
      <c r="L308" s="9">
        <v>12.99</v>
      </c>
      <c r="M308" s="4" t="s">
        <v>3402</v>
      </c>
      <c r="N308" s="4" t="s">
        <v>2514</v>
      </c>
      <c r="O308" s="4" t="s">
        <v>2671</v>
      </c>
      <c r="P308" s="4" t="s">
        <v>2619</v>
      </c>
      <c r="Q308" s="4" t="s">
        <v>2500</v>
      </c>
      <c r="R308" s="4"/>
      <c r="S308" s="4"/>
      <c r="T308" s="4" t="str">
        <f>HYPERLINK("http://slimages.macys.com/is/image/MCY/19575710 ")</f>
        <v xml:space="preserve">http://slimages.macys.com/is/image/MCY/19575710 </v>
      </c>
    </row>
    <row r="309" spans="1:20" ht="15" customHeight="1" x14ac:dyDescent="0.25">
      <c r="A309" s="4" t="s">
        <v>2489</v>
      </c>
      <c r="B309" s="2" t="s">
        <v>2487</v>
      </c>
      <c r="C309" s="2" t="s">
        <v>2488</v>
      </c>
      <c r="D309" s="5" t="s">
        <v>2490</v>
      </c>
      <c r="E309" s="4" t="s">
        <v>2491</v>
      </c>
      <c r="F309" s="6">
        <v>14271949</v>
      </c>
      <c r="G309" s="3">
        <v>14271949</v>
      </c>
      <c r="H309" s="7">
        <v>733004780004</v>
      </c>
      <c r="I309" s="8" t="s">
        <v>3127</v>
      </c>
      <c r="J309" s="4">
        <v>1</v>
      </c>
      <c r="K309" s="9">
        <v>7.99</v>
      </c>
      <c r="L309" s="9">
        <v>7.99</v>
      </c>
      <c r="M309" s="4" t="s">
        <v>3128</v>
      </c>
      <c r="N309" s="4" t="s">
        <v>2632</v>
      </c>
      <c r="O309" s="4">
        <v>6</v>
      </c>
      <c r="P309" s="4" t="s">
        <v>2602</v>
      </c>
      <c r="Q309" s="4" t="s">
        <v>2528</v>
      </c>
      <c r="R309" s="4"/>
      <c r="S309" s="4"/>
      <c r="T309" s="4" t="str">
        <f>HYPERLINK("http://slimages.macys.com/is/image/MCY/20450161 ")</f>
        <v xml:space="preserve">http://slimages.macys.com/is/image/MCY/20450161 </v>
      </c>
    </row>
    <row r="310" spans="1:20" ht="15" customHeight="1" x14ac:dyDescent="0.25">
      <c r="A310" s="4" t="s">
        <v>2489</v>
      </c>
      <c r="B310" s="2" t="s">
        <v>2487</v>
      </c>
      <c r="C310" s="2" t="s">
        <v>2488</v>
      </c>
      <c r="D310" s="5" t="s">
        <v>2490</v>
      </c>
      <c r="E310" s="4" t="s">
        <v>2491</v>
      </c>
      <c r="F310" s="6">
        <v>14271949</v>
      </c>
      <c r="G310" s="3">
        <v>14271949</v>
      </c>
      <c r="H310" s="7">
        <v>194931078464</v>
      </c>
      <c r="I310" s="8" t="s">
        <v>516</v>
      </c>
      <c r="J310" s="4">
        <v>5</v>
      </c>
      <c r="K310" s="9">
        <v>24.5</v>
      </c>
      <c r="L310" s="9">
        <v>122.5</v>
      </c>
      <c r="M310" s="4" t="s">
        <v>1581</v>
      </c>
      <c r="N310" s="4" t="s">
        <v>2804</v>
      </c>
      <c r="O310" s="4">
        <v>12</v>
      </c>
      <c r="P310" s="4" t="s">
        <v>2622</v>
      </c>
      <c r="Q310" s="4" t="s">
        <v>2883</v>
      </c>
      <c r="R310" s="4"/>
      <c r="S310" s="4"/>
      <c r="T310" s="4" t="str">
        <f>HYPERLINK("http://slimages.macys.com/is/image/MCY/18276898 ")</f>
        <v xml:space="preserve">http://slimages.macys.com/is/image/MCY/18276898 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workbookViewId="0">
      <selection activeCell="C20" sqref="C20"/>
    </sheetView>
  </sheetViews>
  <sheetFormatPr defaultRowHeight="15" x14ac:dyDescent="0.25"/>
  <cols>
    <col min="1" max="1" width="19.85546875" bestFit="1" customWidth="1"/>
    <col min="2" max="2" width="34.42578125" bestFit="1" customWidth="1"/>
    <col min="3" max="3" width="26" bestFit="1" customWidth="1"/>
    <col min="4" max="4" width="8.140625" bestFit="1" customWidth="1"/>
    <col min="5" max="5" width="9.85546875" bestFit="1" customWidth="1"/>
    <col min="6" max="7" width="9" bestFit="1" customWidth="1"/>
    <col min="8" max="8" width="14.140625" bestFit="1" customWidth="1"/>
    <col min="9" max="9" width="65.7109375" bestFit="1" customWidth="1"/>
    <col min="10" max="11" width="8.7109375" bestFit="1" customWidth="1"/>
    <col min="12" max="12" width="14.7109375" bestFit="1" customWidth="1"/>
    <col min="13" max="13" width="16" bestFit="1" customWidth="1"/>
    <col min="14" max="14" width="13.140625" bestFit="1" customWidth="1"/>
    <col min="15" max="15" width="10.28515625" bestFit="1" customWidth="1"/>
    <col min="16" max="16" width="15.7109375" bestFit="1" customWidth="1"/>
    <col min="17" max="17" width="38.140625" bestFit="1" customWidth="1"/>
    <col min="18" max="18" width="16.7109375" bestFit="1" customWidth="1"/>
    <col min="19" max="19" width="74.28515625" bestFit="1" customWidth="1"/>
    <col min="20" max="20" width="48.140625" bestFit="1" customWidth="1"/>
  </cols>
  <sheetData>
    <row r="1" spans="1:20" ht="24" x14ac:dyDescent="0.25">
      <c r="A1" s="1" t="s">
        <v>2480</v>
      </c>
      <c r="B1" s="1" t="s">
        <v>2482</v>
      </c>
      <c r="C1" s="1" t="s">
        <v>2483</v>
      </c>
      <c r="D1" s="1" t="s">
        <v>2572</v>
      </c>
      <c r="E1" s="1" t="s">
        <v>2573</v>
      </c>
      <c r="F1" s="1" t="s">
        <v>2481</v>
      </c>
      <c r="G1" s="1" t="s">
        <v>2574</v>
      </c>
      <c r="H1" s="1" t="s">
        <v>2575</v>
      </c>
      <c r="I1" s="1" t="s">
        <v>2576</v>
      </c>
      <c r="J1" s="1" t="s">
        <v>2577</v>
      </c>
      <c r="K1" s="1" t="s">
        <v>2485</v>
      </c>
      <c r="L1" s="1" t="s">
        <v>2578</v>
      </c>
      <c r="M1" s="1" t="s">
        <v>2579</v>
      </c>
      <c r="N1" s="1" t="s">
        <v>2580</v>
      </c>
      <c r="O1" s="1" t="s">
        <v>2581</v>
      </c>
      <c r="P1" s="1" t="s">
        <v>2582</v>
      </c>
      <c r="Q1" s="1" t="s">
        <v>2583</v>
      </c>
      <c r="R1" s="1" t="s">
        <v>2584</v>
      </c>
      <c r="S1" s="1" t="s">
        <v>2585</v>
      </c>
      <c r="T1" s="1" t="s">
        <v>2586</v>
      </c>
    </row>
    <row r="2" spans="1:20" ht="15" customHeight="1" x14ac:dyDescent="0.25">
      <c r="A2" s="4" t="s">
        <v>2489</v>
      </c>
      <c r="B2" s="2" t="s">
        <v>2487</v>
      </c>
      <c r="C2" s="2" t="s">
        <v>2488</v>
      </c>
      <c r="D2" s="5" t="s">
        <v>2490</v>
      </c>
      <c r="E2" s="4" t="s">
        <v>2491</v>
      </c>
      <c r="F2" s="6">
        <v>14264488</v>
      </c>
      <c r="G2" s="3">
        <v>14264488</v>
      </c>
      <c r="H2" s="7">
        <v>48283004278</v>
      </c>
      <c r="I2" s="8" t="s">
        <v>524</v>
      </c>
      <c r="J2" s="4">
        <v>1</v>
      </c>
      <c r="K2" s="9">
        <v>12.28</v>
      </c>
      <c r="L2" s="9">
        <v>12.28</v>
      </c>
      <c r="M2" s="4" t="s">
        <v>2083</v>
      </c>
      <c r="N2" s="4" t="s">
        <v>2508</v>
      </c>
      <c r="O2" s="4" t="s">
        <v>2498</v>
      </c>
      <c r="P2" s="4" t="s">
        <v>2622</v>
      </c>
      <c r="Q2" s="4" t="s">
        <v>2623</v>
      </c>
      <c r="R2" s="4" t="s">
        <v>2552</v>
      </c>
      <c r="S2" s="4" t="s">
        <v>2624</v>
      </c>
      <c r="T2" s="4" t="str">
        <f>HYPERLINK("http://slimages.macys.com/is/image/MCY/13987388 ")</f>
        <v xml:space="preserve">http://slimages.macys.com/is/image/MCY/13987388 </v>
      </c>
    </row>
    <row r="3" spans="1:20" ht="15" customHeight="1" x14ac:dyDescent="0.25">
      <c r="A3" s="4" t="s">
        <v>2489</v>
      </c>
      <c r="B3" s="2" t="s">
        <v>2487</v>
      </c>
      <c r="C3" s="2" t="s">
        <v>2488</v>
      </c>
      <c r="D3" s="5" t="s">
        <v>2490</v>
      </c>
      <c r="E3" s="4" t="s">
        <v>2491</v>
      </c>
      <c r="F3" s="6">
        <v>14264488</v>
      </c>
      <c r="G3" s="3">
        <v>14264488</v>
      </c>
      <c r="H3" s="7">
        <v>887863871165</v>
      </c>
      <c r="I3" s="8" t="s">
        <v>525</v>
      </c>
      <c r="J3" s="4">
        <v>1</v>
      </c>
      <c r="K3" s="9">
        <v>34.99</v>
      </c>
      <c r="L3" s="9">
        <v>34.99</v>
      </c>
      <c r="M3" s="4" t="s">
        <v>2146</v>
      </c>
      <c r="N3" s="4"/>
      <c r="O3" s="4">
        <v>8</v>
      </c>
      <c r="P3" s="4" t="s">
        <v>2634</v>
      </c>
      <c r="Q3" s="4" t="s">
        <v>2147</v>
      </c>
      <c r="R3" s="4" t="s">
        <v>2552</v>
      </c>
      <c r="S3" s="4" t="s">
        <v>2148</v>
      </c>
      <c r="T3" s="4" t="str">
        <f>HYPERLINK("http://slimages.macys.com/is/image/MCY/10208005 ")</f>
        <v xml:space="preserve">http://slimages.macys.com/is/image/MCY/10208005 </v>
      </c>
    </row>
    <row r="4" spans="1:20" ht="15" customHeight="1" x14ac:dyDescent="0.25">
      <c r="A4" s="4" t="s">
        <v>2489</v>
      </c>
      <c r="B4" s="2" t="s">
        <v>2487</v>
      </c>
      <c r="C4" s="2" t="s">
        <v>2488</v>
      </c>
      <c r="D4" s="5" t="s">
        <v>2490</v>
      </c>
      <c r="E4" s="4" t="s">
        <v>2491</v>
      </c>
      <c r="F4" s="6">
        <v>14264488</v>
      </c>
      <c r="G4" s="3">
        <v>14264488</v>
      </c>
      <c r="H4" s="7">
        <v>194973726187</v>
      </c>
      <c r="I4" s="8" t="s">
        <v>526</v>
      </c>
      <c r="J4" s="4">
        <v>1</v>
      </c>
      <c r="K4" s="9">
        <v>18.989999999999998</v>
      </c>
      <c r="L4" s="9">
        <v>18.989999999999998</v>
      </c>
      <c r="M4" s="4" t="s">
        <v>527</v>
      </c>
      <c r="N4" s="4" t="s">
        <v>2893</v>
      </c>
      <c r="O4" s="4">
        <v>6</v>
      </c>
      <c r="P4" s="4" t="s">
        <v>2506</v>
      </c>
      <c r="Q4" s="4" t="s">
        <v>2967</v>
      </c>
      <c r="R4" s="4"/>
      <c r="S4" s="4"/>
      <c r="T4" s="4" t="str">
        <f>HYPERLINK("http://slimages.macys.com/is/image/MCY/19182539 ")</f>
        <v xml:space="preserve">http://slimages.macys.com/is/image/MCY/19182539 </v>
      </c>
    </row>
    <row r="5" spans="1:20" ht="15" customHeight="1" x14ac:dyDescent="0.25">
      <c r="A5" s="4" t="s">
        <v>2489</v>
      </c>
      <c r="B5" s="2" t="s">
        <v>2487</v>
      </c>
      <c r="C5" s="2" t="s">
        <v>2488</v>
      </c>
      <c r="D5" s="5" t="s">
        <v>2490</v>
      </c>
      <c r="E5" s="4" t="s">
        <v>2491</v>
      </c>
      <c r="F5" s="6">
        <v>14264488</v>
      </c>
      <c r="G5" s="3">
        <v>14264488</v>
      </c>
      <c r="H5" s="7">
        <v>194514351168</v>
      </c>
      <c r="I5" s="8" t="s">
        <v>528</v>
      </c>
      <c r="J5" s="4">
        <v>1</v>
      </c>
      <c r="K5" s="9">
        <v>20</v>
      </c>
      <c r="L5" s="9">
        <v>20</v>
      </c>
      <c r="M5" s="4">
        <v>1363283</v>
      </c>
      <c r="N5" s="4" t="s">
        <v>2508</v>
      </c>
      <c r="O5" s="4" t="s">
        <v>2519</v>
      </c>
      <c r="P5" s="4" t="s">
        <v>2499</v>
      </c>
      <c r="Q5" s="4" t="s">
        <v>2958</v>
      </c>
      <c r="R5" s="4"/>
      <c r="S5" s="4"/>
      <c r="T5" s="4" t="str">
        <f>HYPERLINK("http://slimages.macys.com/is/image/MCY/18922434 ")</f>
        <v xml:space="preserve">http://slimages.macys.com/is/image/MCY/18922434 </v>
      </c>
    </row>
    <row r="6" spans="1:20" ht="15" customHeight="1" x14ac:dyDescent="0.25">
      <c r="A6" s="4" t="s">
        <v>2489</v>
      </c>
      <c r="B6" s="2" t="s">
        <v>2487</v>
      </c>
      <c r="C6" s="2" t="s">
        <v>2488</v>
      </c>
      <c r="D6" s="5" t="s">
        <v>2490</v>
      </c>
      <c r="E6" s="4" t="s">
        <v>2491</v>
      </c>
      <c r="F6" s="6">
        <v>14264488</v>
      </c>
      <c r="G6" s="3">
        <v>14264488</v>
      </c>
      <c r="H6" s="7">
        <v>696114414361</v>
      </c>
      <c r="I6" s="8" t="s">
        <v>529</v>
      </c>
      <c r="J6" s="4">
        <v>1</v>
      </c>
      <c r="K6" s="9">
        <v>14.99</v>
      </c>
      <c r="L6" s="9">
        <v>14.99</v>
      </c>
      <c r="M6" s="4" t="s">
        <v>530</v>
      </c>
      <c r="N6" s="4"/>
      <c r="O6" s="4" t="s">
        <v>2493</v>
      </c>
      <c r="P6" s="4" t="s">
        <v>2562</v>
      </c>
      <c r="Q6" s="4" t="s">
        <v>2822</v>
      </c>
      <c r="R6" s="4"/>
      <c r="S6" s="4"/>
      <c r="T6" s="4" t="str">
        <f>HYPERLINK("http://slimages.macys.com/is/image/MCY/20284242 ")</f>
        <v xml:space="preserve">http://slimages.macys.com/is/image/MCY/20284242 </v>
      </c>
    </row>
    <row r="7" spans="1:20" ht="15" customHeight="1" x14ac:dyDescent="0.25">
      <c r="A7" s="4" t="s">
        <v>2489</v>
      </c>
      <c r="B7" s="2" t="s">
        <v>2487</v>
      </c>
      <c r="C7" s="2" t="s">
        <v>2488</v>
      </c>
      <c r="D7" s="5" t="s">
        <v>2490</v>
      </c>
      <c r="E7" s="4" t="s">
        <v>2491</v>
      </c>
      <c r="F7" s="6">
        <v>14264488</v>
      </c>
      <c r="G7" s="3">
        <v>14264488</v>
      </c>
      <c r="H7" s="7">
        <v>652874275192</v>
      </c>
      <c r="I7" s="8" t="s">
        <v>531</v>
      </c>
      <c r="J7" s="4">
        <v>4</v>
      </c>
      <c r="K7" s="9">
        <v>18.989999999999998</v>
      </c>
      <c r="L7" s="9">
        <v>75.959999999999994</v>
      </c>
      <c r="M7" s="4" t="s">
        <v>532</v>
      </c>
      <c r="N7" s="4" t="s">
        <v>2514</v>
      </c>
      <c r="O7" s="4" t="s">
        <v>2519</v>
      </c>
      <c r="P7" s="4" t="s">
        <v>2536</v>
      </c>
      <c r="Q7" s="4" t="s">
        <v>2537</v>
      </c>
      <c r="R7" s="4"/>
      <c r="S7" s="4"/>
      <c r="T7" s="4" t="str">
        <f>HYPERLINK("http://slimages.macys.com/is/image/MCY/19912627 ")</f>
        <v xml:space="preserve">http://slimages.macys.com/is/image/MCY/19912627 </v>
      </c>
    </row>
    <row r="8" spans="1:20" ht="15" customHeight="1" x14ac:dyDescent="0.25">
      <c r="A8" s="4" t="s">
        <v>2489</v>
      </c>
      <c r="B8" s="2" t="s">
        <v>2487</v>
      </c>
      <c r="C8" s="2" t="s">
        <v>2488</v>
      </c>
      <c r="D8" s="5" t="s">
        <v>2490</v>
      </c>
      <c r="E8" s="4" t="s">
        <v>2491</v>
      </c>
      <c r="F8" s="6">
        <v>14264488</v>
      </c>
      <c r="G8" s="3">
        <v>14264488</v>
      </c>
      <c r="H8" s="7">
        <v>194931206164</v>
      </c>
      <c r="I8" s="8" t="s">
        <v>533</v>
      </c>
      <c r="J8" s="4">
        <v>1</v>
      </c>
      <c r="K8" s="9">
        <v>27.24</v>
      </c>
      <c r="L8" s="9">
        <v>27.24</v>
      </c>
      <c r="M8" s="4" t="s">
        <v>534</v>
      </c>
      <c r="N8" s="4"/>
      <c r="O8" s="4"/>
      <c r="P8" s="4" t="s">
        <v>2655</v>
      </c>
      <c r="Q8" s="4" t="s">
        <v>2643</v>
      </c>
      <c r="R8" s="4"/>
      <c r="S8" s="4"/>
      <c r="T8" s="4" t="str">
        <f>HYPERLINK("http://slimages.macys.com/is/image/MCY/19951071 ")</f>
        <v xml:space="preserve">http://slimages.macys.com/is/image/MCY/19951071 </v>
      </c>
    </row>
    <row r="9" spans="1:20" ht="15" customHeight="1" x14ac:dyDescent="0.25">
      <c r="A9" s="4" t="s">
        <v>2489</v>
      </c>
      <c r="B9" s="2" t="s">
        <v>2487</v>
      </c>
      <c r="C9" s="2" t="s">
        <v>2488</v>
      </c>
      <c r="D9" s="5" t="s">
        <v>2490</v>
      </c>
      <c r="E9" s="4" t="s">
        <v>2491</v>
      </c>
      <c r="F9" s="6">
        <v>14264488</v>
      </c>
      <c r="G9" s="3">
        <v>14264488</v>
      </c>
      <c r="H9" s="7">
        <v>733002944668</v>
      </c>
      <c r="I9" s="8" t="s">
        <v>535</v>
      </c>
      <c r="J9" s="4">
        <v>1</v>
      </c>
      <c r="K9" s="9">
        <v>17.989999999999998</v>
      </c>
      <c r="L9" s="9">
        <v>17.989999999999998</v>
      </c>
      <c r="M9" s="4" t="s">
        <v>536</v>
      </c>
      <c r="N9" s="4" t="s">
        <v>2567</v>
      </c>
      <c r="O9" s="4" t="s">
        <v>2650</v>
      </c>
      <c r="P9" s="4" t="s">
        <v>2520</v>
      </c>
      <c r="Q9" s="4" t="s">
        <v>2528</v>
      </c>
      <c r="R9" s="4" t="s">
        <v>2552</v>
      </c>
      <c r="S9" s="4" t="s">
        <v>2624</v>
      </c>
      <c r="T9" s="4" t="str">
        <f>HYPERLINK("http://slimages.macys.com/is/image/MCY/15065280 ")</f>
        <v xml:space="preserve">http://slimages.macys.com/is/image/MCY/15065280 </v>
      </c>
    </row>
    <row r="10" spans="1:20" ht="15" customHeight="1" x14ac:dyDescent="0.25">
      <c r="A10" s="4" t="s">
        <v>2489</v>
      </c>
      <c r="B10" s="2" t="s">
        <v>2487</v>
      </c>
      <c r="C10" s="2" t="s">
        <v>2488</v>
      </c>
      <c r="D10" s="5" t="s">
        <v>2490</v>
      </c>
      <c r="E10" s="4" t="s">
        <v>2491</v>
      </c>
      <c r="F10" s="6">
        <v>14264488</v>
      </c>
      <c r="G10" s="3">
        <v>14264488</v>
      </c>
      <c r="H10" s="7">
        <v>733003702304</v>
      </c>
      <c r="I10" s="8" t="s">
        <v>537</v>
      </c>
      <c r="J10" s="4">
        <v>1</v>
      </c>
      <c r="K10" s="9">
        <v>7.99</v>
      </c>
      <c r="L10" s="9">
        <v>7.99</v>
      </c>
      <c r="M10" s="4" t="s">
        <v>538</v>
      </c>
      <c r="N10" s="4" t="s">
        <v>2505</v>
      </c>
      <c r="O10" s="4">
        <v>6</v>
      </c>
      <c r="P10" s="4" t="s">
        <v>2602</v>
      </c>
      <c r="Q10" s="4" t="s">
        <v>2528</v>
      </c>
      <c r="R10" s="4"/>
      <c r="S10" s="4"/>
      <c r="T10" s="4" t="str">
        <f>HYPERLINK("http://slimages.macys.com/is/image/MCY/19635576 ")</f>
        <v xml:space="preserve">http://slimages.macys.com/is/image/MCY/19635576 </v>
      </c>
    </row>
    <row r="11" spans="1:20" ht="15" customHeight="1" x14ac:dyDescent="0.25">
      <c r="A11" s="4" t="s">
        <v>2489</v>
      </c>
      <c r="B11" s="2" t="s">
        <v>2487</v>
      </c>
      <c r="C11" s="2" t="s">
        <v>2488</v>
      </c>
      <c r="D11" s="5" t="s">
        <v>2490</v>
      </c>
      <c r="E11" s="4" t="s">
        <v>2491</v>
      </c>
      <c r="F11" s="6">
        <v>14264488</v>
      </c>
      <c r="G11" s="3">
        <v>14264488</v>
      </c>
      <c r="H11" s="7">
        <v>192042329932</v>
      </c>
      <c r="I11" s="8" t="s">
        <v>539</v>
      </c>
      <c r="J11" s="4">
        <v>1</v>
      </c>
      <c r="K11" s="9">
        <v>12.99</v>
      </c>
      <c r="L11" s="9">
        <v>12.99</v>
      </c>
      <c r="M11" s="4" t="s">
        <v>540</v>
      </c>
      <c r="N11" s="4" t="s">
        <v>2731</v>
      </c>
      <c r="O11" s="4" t="s">
        <v>2688</v>
      </c>
      <c r="P11" s="4" t="s">
        <v>2655</v>
      </c>
      <c r="Q11" s="4" t="s">
        <v>2623</v>
      </c>
      <c r="R11" s="4" t="s">
        <v>2552</v>
      </c>
      <c r="S11" s="4" t="s">
        <v>2624</v>
      </c>
      <c r="T11" s="4" t="str">
        <f>HYPERLINK("http://slimages.macys.com/is/image/MCY/13984183 ")</f>
        <v xml:space="preserve">http://slimages.macys.com/is/image/MCY/13984183 </v>
      </c>
    </row>
    <row r="12" spans="1:20" ht="15" customHeight="1" x14ac:dyDescent="0.25">
      <c r="A12" s="4" t="s">
        <v>2489</v>
      </c>
      <c r="B12" s="2" t="s">
        <v>2487</v>
      </c>
      <c r="C12" s="2" t="s">
        <v>2488</v>
      </c>
      <c r="D12" s="5" t="s">
        <v>2490</v>
      </c>
      <c r="E12" s="4" t="s">
        <v>2491</v>
      </c>
      <c r="F12" s="6">
        <v>14264488</v>
      </c>
      <c r="G12" s="3">
        <v>14264488</v>
      </c>
      <c r="H12" s="7">
        <v>400819503653</v>
      </c>
      <c r="I12" s="8" t="s">
        <v>1838</v>
      </c>
      <c r="J12" s="4">
        <v>459</v>
      </c>
      <c r="K12" s="9">
        <v>18</v>
      </c>
      <c r="L12" s="9">
        <v>8262</v>
      </c>
      <c r="M12" s="4"/>
      <c r="N12" s="4" t="s">
        <v>2769</v>
      </c>
      <c r="O12" s="4" t="s">
        <v>2669</v>
      </c>
      <c r="P12" s="4" t="s">
        <v>1839</v>
      </c>
      <c r="Q12" s="4" t="s">
        <v>1840</v>
      </c>
      <c r="R12" s="4"/>
      <c r="S12" s="4"/>
      <c r="T12" s="4"/>
    </row>
    <row r="13" spans="1:20" ht="15" customHeight="1" x14ac:dyDescent="0.25">
      <c r="A13" s="4" t="s">
        <v>2489</v>
      </c>
      <c r="B13" s="2" t="s">
        <v>2487</v>
      </c>
      <c r="C13" s="2" t="s">
        <v>2488</v>
      </c>
      <c r="D13" s="5" t="s">
        <v>2490</v>
      </c>
      <c r="E13" s="4" t="s">
        <v>2491</v>
      </c>
      <c r="F13" s="6">
        <v>14264488</v>
      </c>
      <c r="G13" s="3">
        <v>14264488</v>
      </c>
      <c r="H13" s="7">
        <v>26217620381</v>
      </c>
      <c r="I13" s="8" t="s">
        <v>541</v>
      </c>
      <c r="J13" s="4">
        <v>2</v>
      </c>
      <c r="K13" s="9">
        <v>16.989999999999998</v>
      </c>
      <c r="L13" s="9">
        <v>33.979999999999997</v>
      </c>
      <c r="M13" s="4" t="s">
        <v>542</v>
      </c>
      <c r="N13" s="4" t="s">
        <v>2554</v>
      </c>
      <c r="O13" s="4" t="s">
        <v>2555</v>
      </c>
      <c r="P13" s="4" t="s">
        <v>2622</v>
      </c>
      <c r="Q13" s="4" t="s">
        <v>543</v>
      </c>
      <c r="R13" s="4" t="s">
        <v>2552</v>
      </c>
      <c r="S13" s="4" t="s">
        <v>544</v>
      </c>
      <c r="T13" s="4" t="str">
        <f>HYPERLINK("http://slimages.macys.com/is/image/MCY/12071765 ")</f>
        <v xml:space="preserve">http://slimages.macys.com/is/image/MCY/12071765 </v>
      </c>
    </row>
    <row r="14" spans="1:20" ht="15" customHeight="1" x14ac:dyDescent="0.25">
      <c r="A14" s="4" t="s">
        <v>2489</v>
      </c>
      <c r="B14" s="2" t="s">
        <v>2487</v>
      </c>
      <c r="C14" s="2" t="s">
        <v>2488</v>
      </c>
      <c r="D14" s="5" t="s">
        <v>2490</v>
      </c>
      <c r="E14" s="4" t="s">
        <v>2491</v>
      </c>
      <c r="F14" s="6">
        <v>14264488</v>
      </c>
      <c r="G14" s="3">
        <v>14264488</v>
      </c>
      <c r="H14" s="7">
        <v>732996245737</v>
      </c>
      <c r="I14" s="8" t="s">
        <v>545</v>
      </c>
      <c r="J14" s="4">
        <v>1</v>
      </c>
      <c r="K14" s="9">
        <v>7.99</v>
      </c>
      <c r="L14" s="9">
        <v>7.99</v>
      </c>
      <c r="M14" s="4">
        <v>10005380100</v>
      </c>
      <c r="N14" s="4" t="s">
        <v>2565</v>
      </c>
      <c r="O14" s="4" t="s">
        <v>2831</v>
      </c>
      <c r="P14" s="4" t="s">
        <v>2503</v>
      </c>
      <c r="Q14" s="4" t="s">
        <v>2504</v>
      </c>
      <c r="R14" s="4" t="s">
        <v>2552</v>
      </c>
      <c r="S14" s="4" t="s">
        <v>2878</v>
      </c>
      <c r="T14" s="4" t="str">
        <f>HYPERLINK("http://slimages.macys.com/is/image/MCY/12466174 ")</f>
        <v xml:space="preserve">http://slimages.macys.com/is/image/MCY/12466174 </v>
      </c>
    </row>
    <row r="15" spans="1:20" ht="15" customHeight="1" x14ac:dyDescent="0.25">
      <c r="A15" s="4" t="s">
        <v>2489</v>
      </c>
      <c r="B15" s="2" t="s">
        <v>2487</v>
      </c>
      <c r="C15" s="2" t="s">
        <v>2488</v>
      </c>
      <c r="D15" s="5" t="s">
        <v>2490</v>
      </c>
      <c r="E15" s="4" t="s">
        <v>2491</v>
      </c>
      <c r="F15" s="6">
        <v>14264488</v>
      </c>
      <c r="G15" s="3">
        <v>14264488</v>
      </c>
      <c r="H15" s="7">
        <v>732995882445</v>
      </c>
      <c r="I15" s="8" t="s">
        <v>546</v>
      </c>
      <c r="J15" s="4">
        <v>1</v>
      </c>
      <c r="K15" s="9">
        <v>5.99</v>
      </c>
      <c r="L15" s="9">
        <v>5.99</v>
      </c>
      <c r="M15" s="4" t="s">
        <v>547</v>
      </c>
      <c r="N15" s="4" t="s">
        <v>2501</v>
      </c>
      <c r="O15" s="4" t="s">
        <v>2502</v>
      </c>
      <c r="P15" s="4" t="s">
        <v>2503</v>
      </c>
      <c r="Q15" s="4" t="s">
        <v>2504</v>
      </c>
      <c r="R15" s="4" t="s">
        <v>2552</v>
      </c>
      <c r="S15" s="4" t="s">
        <v>2678</v>
      </c>
      <c r="T15" s="4" t="str">
        <f>HYPERLINK("http://slimages.macys.com/is/image/MCY/11856992 ")</f>
        <v xml:space="preserve">http://slimages.macys.com/is/image/MCY/11856992 </v>
      </c>
    </row>
    <row r="16" spans="1:20" ht="15" customHeight="1" x14ac:dyDescent="0.25">
      <c r="A16" s="4" t="s">
        <v>2489</v>
      </c>
      <c r="B16" s="2" t="s">
        <v>2487</v>
      </c>
      <c r="C16" s="2" t="s">
        <v>2488</v>
      </c>
      <c r="D16" s="5" t="s">
        <v>2490</v>
      </c>
      <c r="E16" s="4" t="s">
        <v>2491</v>
      </c>
      <c r="F16" s="6">
        <v>14264488</v>
      </c>
      <c r="G16" s="3">
        <v>14264488</v>
      </c>
      <c r="H16" s="7">
        <v>795459804162</v>
      </c>
      <c r="I16" s="8" t="s">
        <v>548</v>
      </c>
      <c r="J16" s="4">
        <v>1</v>
      </c>
      <c r="K16" s="9">
        <v>22</v>
      </c>
      <c r="L16" s="9">
        <v>22</v>
      </c>
      <c r="M16" s="4" t="s">
        <v>549</v>
      </c>
      <c r="N16" s="4"/>
      <c r="O16" s="4">
        <v>14</v>
      </c>
      <c r="P16" s="4" t="s">
        <v>2750</v>
      </c>
      <c r="Q16" s="4" t="s">
        <v>550</v>
      </c>
      <c r="R16" s="4" t="s">
        <v>2552</v>
      </c>
      <c r="S16" s="4" t="s">
        <v>551</v>
      </c>
      <c r="T16" s="4" t="str">
        <f>HYPERLINK("http://slimages.macys.com/is/image/MCY/10631504 ")</f>
        <v xml:space="preserve">http://slimages.macys.com/is/image/MCY/10631504 </v>
      </c>
    </row>
    <row r="17" spans="1:20" ht="15" customHeight="1" x14ac:dyDescent="0.25">
      <c r="A17" s="4" t="s">
        <v>2489</v>
      </c>
      <c r="B17" s="2" t="s">
        <v>2487</v>
      </c>
      <c r="C17" s="2" t="s">
        <v>2488</v>
      </c>
      <c r="D17" s="5" t="s">
        <v>2490</v>
      </c>
      <c r="E17" s="4" t="s">
        <v>2491</v>
      </c>
      <c r="F17" s="6">
        <v>14264488</v>
      </c>
      <c r="G17" s="3">
        <v>14264488</v>
      </c>
      <c r="H17" s="7">
        <v>195883381268</v>
      </c>
      <c r="I17" s="8" t="s">
        <v>552</v>
      </c>
      <c r="J17" s="4">
        <v>1</v>
      </c>
      <c r="K17" s="9">
        <v>12.99</v>
      </c>
      <c r="L17" s="9">
        <v>12.99</v>
      </c>
      <c r="M17" s="4" t="s">
        <v>553</v>
      </c>
      <c r="N17" s="4" t="s">
        <v>2505</v>
      </c>
      <c r="O17" s="4">
        <v>2</v>
      </c>
      <c r="P17" s="4" t="s">
        <v>2506</v>
      </c>
      <c r="Q17" s="4" t="s">
        <v>2527</v>
      </c>
      <c r="R17" s="4"/>
      <c r="S17" s="4"/>
      <c r="T17" s="4" t="str">
        <f>HYPERLINK("http://slimages.macys.com/is/image/MCY/20192146 ")</f>
        <v xml:space="preserve">http://slimages.macys.com/is/image/MCY/20192146 </v>
      </c>
    </row>
    <row r="18" spans="1:20" ht="15" customHeight="1" x14ac:dyDescent="0.25">
      <c r="A18" s="4" t="s">
        <v>2489</v>
      </c>
      <c r="B18" s="2" t="s">
        <v>2487</v>
      </c>
      <c r="C18" s="2" t="s">
        <v>2488</v>
      </c>
      <c r="D18" s="5" t="s">
        <v>2490</v>
      </c>
      <c r="E18" s="4" t="s">
        <v>2491</v>
      </c>
      <c r="F18" s="6">
        <v>14264488</v>
      </c>
      <c r="G18" s="3">
        <v>14264488</v>
      </c>
      <c r="H18" s="7">
        <v>194135596108</v>
      </c>
      <c r="I18" s="8" t="s">
        <v>554</v>
      </c>
      <c r="J18" s="4">
        <v>1</v>
      </c>
      <c r="K18" s="9">
        <v>16.29</v>
      </c>
      <c r="L18" s="9">
        <v>16.29</v>
      </c>
      <c r="M18" s="4" t="s">
        <v>3017</v>
      </c>
      <c r="N18" s="4"/>
      <c r="O18" s="4">
        <v>8</v>
      </c>
      <c r="P18" s="4" t="s">
        <v>2657</v>
      </c>
      <c r="Q18" s="4" t="s">
        <v>2716</v>
      </c>
      <c r="R18" s="4"/>
      <c r="S18" s="4"/>
      <c r="T18" s="4" t="str">
        <f>HYPERLINK("http://slimages.macys.com/is/image/MCY/19944455 ")</f>
        <v xml:space="preserve">http://slimages.macys.com/is/image/MCY/19944455 </v>
      </c>
    </row>
    <row r="19" spans="1:20" ht="15" customHeight="1" x14ac:dyDescent="0.25">
      <c r="A19" s="4" t="s">
        <v>2489</v>
      </c>
      <c r="B19" s="2" t="s">
        <v>2487</v>
      </c>
      <c r="C19" s="2" t="s">
        <v>2488</v>
      </c>
      <c r="D19" s="5" t="s">
        <v>2490</v>
      </c>
      <c r="E19" s="4" t="s">
        <v>2491</v>
      </c>
      <c r="F19" s="6">
        <v>14264488</v>
      </c>
      <c r="G19" s="3">
        <v>14264488</v>
      </c>
      <c r="H19" s="7">
        <v>193869608057</v>
      </c>
      <c r="I19" s="8" t="s">
        <v>555</v>
      </c>
      <c r="J19" s="4">
        <v>1</v>
      </c>
      <c r="K19" s="9">
        <v>75</v>
      </c>
      <c r="L19" s="9">
        <v>75</v>
      </c>
      <c r="M19" s="4" t="s">
        <v>556</v>
      </c>
      <c r="N19" s="4" t="s">
        <v>2632</v>
      </c>
      <c r="O19" s="4">
        <v>14</v>
      </c>
      <c r="P19" s="4" t="s">
        <v>2866</v>
      </c>
      <c r="Q19" s="4" t="s">
        <v>557</v>
      </c>
      <c r="R19" s="4"/>
      <c r="S19" s="4"/>
      <c r="T19" s="4" t="str">
        <f>HYPERLINK("http://slimages.macys.com/is/image/MCY/18053488 ")</f>
        <v xml:space="preserve">http://slimages.macys.com/is/image/MCY/18053488 </v>
      </c>
    </row>
    <row r="20" spans="1:20" ht="15" customHeight="1" x14ac:dyDescent="0.25">
      <c r="A20" s="4" t="s">
        <v>2489</v>
      </c>
      <c r="B20" s="2" t="s">
        <v>2487</v>
      </c>
      <c r="C20" s="2" t="s">
        <v>2488</v>
      </c>
      <c r="D20" s="5" t="s">
        <v>2490</v>
      </c>
      <c r="E20" s="4" t="s">
        <v>2491</v>
      </c>
      <c r="F20" s="6">
        <v>14264488</v>
      </c>
      <c r="G20" s="3">
        <v>14264488</v>
      </c>
      <c r="H20" s="7">
        <v>193712355961</v>
      </c>
      <c r="I20" s="8" t="s">
        <v>558</v>
      </c>
      <c r="J20" s="4">
        <v>1</v>
      </c>
      <c r="K20" s="9">
        <v>17.989999999999998</v>
      </c>
      <c r="L20" s="9">
        <v>17.989999999999998</v>
      </c>
      <c r="M20" s="4" t="s">
        <v>559</v>
      </c>
      <c r="N20" s="4" t="s">
        <v>2518</v>
      </c>
      <c r="O20" s="4" t="s">
        <v>2671</v>
      </c>
      <c r="P20" s="4" t="s">
        <v>2536</v>
      </c>
      <c r="Q20" s="4" t="s">
        <v>2869</v>
      </c>
      <c r="R20" s="4"/>
      <c r="S20" s="4"/>
      <c r="T20" s="4" t="str">
        <f>HYPERLINK("http://slimages.macys.com/is/image/MCY/20652020 ")</f>
        <v xml:space="preserve">http://slimages.macys.com/is/image/MCY/20652020 </v>
      </c>
    </row>
    <row r="21" spans="1:20" ht="15" customHeight="1" x14ac:dyDescent="0.25">
      <c r="A21" s="4" t="s">
        <v>2489</v>
      </c>
      <c r="B21" s="2" t="s">
        <v>2487</v>
      </c>
      <c r="C21" s="2" t="s">
        <v>2488</v>
      </c>
      <c r="D21" s="5" t="s">
        <v>2490</v>
      </c>
      <c r="E21" s="4" t="s">
        <v>2491</v>
      </c>
      <c r="F21" s="6">
        <v>14264488</v>
      </c>
      <c r="G21" s="3">
        <v>14264488</v>
      </c>
      <c r="H21" s="7">
        <v>194257241498</v>
      </c>
      <c r="I21" s="8" t="s">
        <v>3360</v>
      </c>
      <c r="J21" s="4">
        <v>1</v>
      </c>
      <c r="K21" s="9">
        <v>9.99</v>
      </c>
      <c r="L21" s="9">
        <v>9.99</v>
      </c>
      <c r="M21" s="4" t="s">
        <v>3280</v>
      </c>
      <c r="N21" s="4" t="s">
        <v>2523</v>
      </c>
      <c r="O21" s="4" t="s">
        <v>2519</v>
      </c>
      <c r="P21" s="4" t="s">
        <v>2499</v>
      </c>
      <c r="Q21" s="4" t="s">
        <v>2500</v>
      </c>
      <c r="R21" s="4"/>
      <c r="S21" s="4"/>
      <c r="T21" s="4" t="str">
        <f>HYPERLINK("http://slimages.macys.com/is/image/MCY/18921570 ")</f>
        <v xml:space="preserve">http://slimages.macys.com/is/image/MCY/18921570 </v>
      </c>
    </row>
    <row r="22" spans="1:20" ht="15" customHeight="1" x14ac:dyDescent="0.25">
      <c r="A22" s="4" t="s">
        <v>2489</v>
      </c>
      <c r="B22" s="2" t="s">
        <v>2487</v>
      </c>
      <c r="C22" s="2" t="s">
        <v>2488</v>
      </c>
      <c r="D22" s="5" t="s">
        <v>2490</v>
      </c>
      <c r="E22" s="4" t="s">
        <v>2491</v>
      </c>
      <c r="F22" s="6">
        <v>14264488</v>
      </c>
      <c r="G22" s="3">
        <v>14264488</v>
      </c>
      <c r="H22" s="7">
        <v>194135459458</v>
      </c>
      <c r="I22" s="8" t="s">
        <v>560</v>
      </c>
      <c r="J22" s="4">
        <v>1</v>
      </c>
      <c r="K22" s="9">
        <v>17.29</v>
      </c>
      <c r="L22" s="9">
        <v>17.29</v>
      </c>
      <c r="M22" s="4" t="s">
        <v>561</v>
      </c>
      <c r="N22" s="4"/>
      <c r="O22" s="4" t="s">
        <v>2607</v>
      </c>
      <c r="P22" s="4" t="s">
        <v>2494</v>
      </c>
      <c r="Q22" s="4" t="s">
        <v>2495</v>
      </c>
      <c r="R22" s="4"/>
      <c r="S22" s="4"/>
      <c r="T22" s="4" t="str">
        <f>HYPERLINK("http://slimages.macys.com/is/image/MCY/19836666 ")</f>
        <v xml:space="preserve">http://slimages.macys.com/is/image/MCY/19836666 </v>
      </c>
    </row>
    <row r="23" spans="1:20" ht="15" customHeight="1" x14ac:dyDescent="0.25">
      <c r="A23" s="4" t="s">
        <v>2489</v>
      </c>
      <c r="B23" s="2" t="s">
        <v>2487</v>
      </c>
      <c r="C23" s="2" t="s">
        <v>2488</v>
      </c>
      <c r="D23" s="5" t="s">
        <v>2490</v>
      </c>
      <c r="E23" s="4" t="s">
        <v>2491</v>
      </c>
      <c r="F23" s="6">
        <v>14264488</v>
      </c>
      <c r="G23" s="3">
        <v>14264488</v>
      </c>
      <c r="H23" s="7">
        <v>194753562301</v>
      </c>
      <c r="I23" s="8" t="s">
        <v>562</v>
      </c>
      <c r="J23" s="4">
        <v>1</v>
      </c>
      <c r="K23" s="9">
        <v>22</v>
      </c>
      <c r="L23" s="9">
        <v>22</v>
      </c>
      <c r="M23" s="4" t="s">
        <v>563</v>
      </c>
      <c r="N23" s="4" t="s">
        <v>2523</v>
      </c>
      <c r="O23" s="4" t="s">
        <v>2705</v>
      </c>
      <c r="P23" s="4" t="s">
        <v>2499</v>
      </c>
      <c r="Q23" s="4" t="s">
        <v>3005</v>
      </c>
      <c r="R23" s="4"/>
      <c r="S23" s="4"/>
      <c r="T23" s="4" t="str">
        <f>HYPERLINK("http://slimages.macys.com/is/image/MCY/18788032 ")</f>
        <v xml:space="preserve">http://slimages.macys.com/is/image/MCY/18788032 </v>
      </c>
    </row>
    <row r="24" spans="1:20" ht="15" customHeight="1" x14ac:dyDescent="0.25">
      <c r="A24" s="4" t="s">
        <v>2489</v>
      </c>
      <c r="B24" s="2" t="s">
        <v>2487</v>
      </c>
      <c r="C24" s="2" t="s">
        <v>2488</v>
      </c>
      <c r="D24" s="5" t="s">
        <v>2490</v>
      </c>
      <c r="E24" s="4" t="s">
        <v>2491</v>
      </c>
      <c r="F24" s="6">
        <v>14264488</v>
      </c>
      <c r="G24" s="3">
        <v>14264488</v>
      </c>
      <c r="H24" s="7">
        <v>195187358287</v>
      </c>
      <c r="I24" s="8" t="s">
        <v>564</v>
      </c>
      <c r="J24" s="4">
        <v>4</v>
      </c>
      <c r="K24" s="9">
        <v>14.5</v>
      </c>
      <c r="L24" s="9">
        <v>58</v>
      </c>
      <c r="M24" s="4" t="s">
        <v>565</v>
      </c>
      <c r="N24" s="4" t="s">
        <v>2731</v>
      </c>
      <c r="O24" s="4" t="s">
        <v>2498</v>
      </c>
      <c r="P24" s="4" t="s">
        <v>2536</v>
      </c>
      <c r="Q24" s="4" t="s">
        <v>2981</v>
      </c>
      <c r="R24" s="4"/>
      <c r="S24" s="4"/>
      <c r="T24" s="4"/>
    </row>
    <row r="25" spans="1:20" ht="15" customHeight="1" x14ac:dyDescent="0.25">
      <c r="A25" s="4" t="s">
        <v>2489</v>
      </c>
      <c r="B25" s="2" t="s">
        <v>2487</v>
      </c>
      <c r="C25" s="2" t="s">
        <v>2488</v>
      </c>
      <c r="D25" s="5" t="s">
        <v>2490</v>
      </c>
      <c r="E25" s="4" t="s">
        <v>2491</v>
      </c>
      <c r="F25" s="6">
        <v>14264488</v>
      </c>
      <c r="G25" s="3">
        <v>14264488</v>
      </c>
      <c r="H25" s="7">
        <v>192042340340</v>
      </c>
      <c r="I25" s="8" t="s">
        <v>566</v>
      </c>
      <c r="J25" s="4">
        <v>1</v>
      </c>
      <c r="K25" s="9">
        <v>14.99</v>
      </c>
      <c r="L25" s="9">
        <v>14.99</v>
      </c>
      <c r="M25" s="4" t="s">
        <v>567</v>
      </c>
      <c r="N25" s="4" t="s">
        <v>2523</v>
      </c>
      <c r="O25" s="4"/>
      <c r="P25" s="4" t="s">
        <v>2655</v>
      </c>
      <c r="Q25" s="4" t="s">
        <v>2643</v>
      </c>
      <c r="R25" s="4" t="s">
        <v>2552</v>
      </c>
      <c r="S25" s="4" t="s">
        <v>568</v>
      </c>
      <c r="T25" s="4" t="str">
        <f>HYPERLINK("http://slimages.macys.com/is/image/MCY/13984185 ")</f>
        <v xml:space="preserve">http://slimages.macys.com/is/image/MCY/13984185 </v>
      </c>
    </row>
    <row r="26" spans="1:20" ht="15" customHeight="1" x14ac:dyDescent="0.25">
      <c r="A26" s="4" t="s">
        <v>2489</v>
      </c>
      <c r="B26" s="2" t="s">
        <v>2487</v>
      </c>
      <c r="C26" s="2" t="s">
        <v>2488</v>
      </c>
      <c r="D26" s="5" t="s">
        <v>2490</v>
      </c>
      <c r="E26" s="4" t="s">
        <v>2491</v>
      </c>
      <c r="F26" s="6">
        <v>14264488</v>
      </c>
      <c r="G26" s="3">
        <v>14264488</v>
      </c>
      <c r="H26" s="7">
        <v>696114413425</v>
      </c>
      <c r="I26" s="8" t="s">
        <v>569</v>
      </c>
      <c r="J26" s="4">
        <v>1</v>
      </c>
      <c r="K26" s="9">
        <v>14.99</v>
      </c>
      <c r="L26" s="9">
        <v>14.99</v>
      </c>
      <c r="M26" s="4" t="s">
        <v>2888</v>
      </c>
      <c r="N26" s="4" t="s">
        <v>2523</v>
      </c>
      <c r="O26" s="4" t="s">
        <v>2502</v>
      </c>
      <c r="P26" s="4" t="s">
        <v>2562</v>
      </c>
      <c r="Q26" s="4" t="s">
        <v>2822</v>
      </c>
      <c r="R26" s="4"/>
      <c r="S26" s="4"/>
      <c r="T26" s="4" t="str">
        <f>HYPERLINK("http://slimages.macys.com/is/image/MCY/19731282 ")</f>
        <v xml:space="preserve">http://slimages.macys.com/is/image/MCY/19731282 </v>
      </c>
    </row>
    <row r="27" spans="1:20" ht="15" customHeight="1" x14ac:dyDescent="0.25">
      <c r="A27" s="4" t="s">
        <v>2489</v>
      </c>
      <c r="B27" s="2" t="s">
        <v>2487</v>
      </c>
      <c r="C27" s="2" t="s">
        <v>2488</v>
      </c>
      <c r="D27" s="5" t="s">
        <v>2490</v>
      </c>
      <c r="E27" s="4" t="s">
        <v>2491</v>
      </c>
      <c r="F27" s="6">
        <v>14264488</v>
      </c>
      <c r="G27" s="3">
        <v>14264488</v>
      </c>
      <c r="H27" s="7">
        <v>652874275260</v>
      </c>
      <c r="I27" s="8" t="s">
        <v>570</v>
      </c>
      <c r="J27" s="4">
        <v>2</v>
      </c>
      <c r="K27" s="9">
        <v>18.989999999999998</v>
      </c>
      <c r="L27" s="9">
        <v>37.979999999999997</v>
      </c>
      <c r="M27" s="4" t="s">
        <v>532</v>
      </c>
      <c r="N27" s="4"/>
      <c r="O27" s="4" t="s">
        <v>2555</v>
      </c>
      <c r="P27" s="4" t="s">
        <v>2536</v>
      </c>
      <c r="Q27" s="4" t="s">
        <v>2537</v>
      </c>
      <c r="R27" s="4"/>
      <c r="S27" s="4"/>
      <c r="T27" s="4" t="str">
        <f>HYPERLINK("http://slimages.macys.com/is/image/MCY/20389516 ")</f>
        <v xml:space="preserve">http://slimages.macys.com/is/image/MCY/20389516 </v>
      </c>
    </row>
    <row r="28" spans="1:20" ht="15" customHeight="1" x14ac:dyDescent="0.25">
      <c r="A28" s="4" t="s">
        <v>2489</v>
      </c>
      <c r="B28" s="2" t="s">
        <v>2487</v>
      </c>
      <c r="C28" s="2" t="s">
        <v>2488</v>
      </c>
      <c r="D28" s="5" t="s">
        <v>2490</v>
      </c>
      <c r="E28" s="4" t="s">
        <v>2491</v>
      </c>
      <c r="F28" s="6">
        <v>14264488</v>
      </c>
      <c r="G28" s="3">
        <v>14264488</v>
      </c>
      <c r="H28" s="7">
        <v>884411882963</v>
      </c>
      <c r="I28" s="8" t="s">
        <v>571</v>
      </c>
      <c r="J28" s="4">
        <v>1</v>
      </c>
      <c r="K28" s="9">
        <v>18.989999999999998</v>
      </c>
      <c r="L28" s="9">
        <v>18.989999999999998</v>
      </c>
      <c r="M28" s="4" t="s">
        <v>572</v>
      </c>
      <c r="N28" s="4" t="s">
        <v>2728</v>
      </c>
      <c r="O28" s="4">
        <v>4</v>
      </c>
      <c r="P28" s="4" t="s">
        <v>2506</v>
      </c>
      <c r="Q28" s="4" t="s">
        <v>2967</v>
      </c>
      <c r="R28" s="4"/>
      <c r="S28" s="4"/>
      <c r="T28" s="4" t="str">
        <f>HYPERLINK("http://slimages.macys.com/is/image/MCY/18566538 ")</f>
        <v xml:space="preserve">http://slimages.macys.com/is/image/MCY/18566538 </v>
      </c>
    </row>
    <row r="29" spans="1:20" ht="15" customHeight="1" x14ac:dyDescent="0.25">
      <c r="A29" s="4" t="s">
        <v>2489</v>
      </c>
      <c r="B29" s="2" t="s">
        <v>2487</v>
      </c>
      <c r="C29" s="2" t="s">
        <v>2488</v>
      </c>
      <c r="D29" s="5" t="s">
        <v>2490</v>
      </c>
      <c r="E29" s="4" t="s">
        <v>2491</v>
      </c>
      <c r="F29" s="6">
        <v>14264488</v>
      </c>
      <c r="G29" s="3">
        <v>14264488</v>
      </c>
      <c r="H29" s="7">
        <v>194753239180</v>
      </c>
      <c r="I29" s="8" t="s">
        <v>573</v>
      </c>
      <c r="J29" s="4">
        <v>1</v>
      </c>
      <c r="K29" s="9">
        <v>32</v>
      </c>
      <c r="L29" s="9">
        <v>32</v>
      </c>
      <c r="M29" s="4" t="s">
        <v>574</v>
      </c>
      <c r="N29" s="4" t="s">
        <v>2544</v>
      </c>
      <c r="O29" s="4">
        <v>5</v>
      </c>
      <c r="P29" s="4" t="s">
        <v>2655</v>
      </c>
      <c r="Q29" s="4" t="s">
        <v>2864</v>
      </c>
      <c r="R29" s="4"/>
      <c r="S29" s="4"/>
      <c r="T29" s="4" t="str">
        <f>HYPERLINK("http://slimages.macys.com/is/image/MCY/19726380 ")</f>
        <v xml:space="preserve">http://slimages.macys.com/is/image/MCY/19726380 </v>
      </c>
    </row>
    <row r="30" spans="1:20" ht="15" customHeight="1" x14ac:dyDescent="0.25">
      <c r="A30" s="4" t="s">
        <v>2489</v>
      </c>
      <c r="B30" s="2" t="s">
        <v>2487</v>
      </c>
      <c r="C30" s="2" t="s">
        <v>2488</v>
      </c>
      <c r="D30" s="5" t="s">
        <v>2490</v>
      </c>
      <c r="E30" s="4" t="s">
        <v>2491</v>
      </c>
      <c r="F30" s="6">
        <v>14264488</v>
      </c>
      <c r="G30" s="3">
        <v>14264488</v>
      </c>
      <c r="H30" s="7">
        <v>194135041622</v>
      </c>
      <c r="I30" s="8" t="s">
        <v>575</v>
      </c>
      <c r="J30" s="4">
        <v>1</v>
      </c>
      <c r="K30" s="9">
        <v>22.67</v>
      </c>
      <c r="L30" s="9">
        <v>22.67</v>
      </c>
      <c r="M30" s="4" t="s">
        <v>576</v>
      </c>
      <c r="N30" s="4"/>
      <c r="O30" s="4">
        <v>6</v>
      </c>
      <c r="P30" s="4" t="s">
        <v>2657</v>
      </c>
      <c r="Q30" s="4" t="s">
        <v>2716</v>
      </c>
      <c r="R30" s="4"/>
      <c r="S30" s="4"/>
      <c r="T30" s="4" t="str">
        <f>HYPERLINK("http://slimages.macys.com/is/image/MCY/18846754 ")</f>
        <v xml:space="preserve">http://slimages.macys.com/is/image/MCY/18846754 </v>
      </c>
    </row>
    <row r="31" spans="1:20" ht="15" customHeight="1" x14ac:dyDescent="0.25">
      <c r="A31" s="4" t="s">
        <v>2489</v>
      </c>
      <c r="B31" s="2" t="s">
        <v>2487</v>
      </c>
      <c r="C31" s="2" t="s">
        <v>2488</v>
      </c>
      <c r="D31" s="5" t="s">
        <v>2490</v>
      </c>
      <c r="E31" s="4" t="s">
        <v>2491</v>
      </c>
      <c r="F31" s="6">
        <v>14264488</v>
      </c>
      <c r="G31" s="3">
        <v>14264488</v>
      </c>
      <c r="H31" s="7">
        <v>194170275044</v>
      </c>
      <c r="I31" s="8" t="s">
        <v>577</v>
      </c>
      <c r="J31" s="4">
        <v>2</v>
      </c>
      <c r="K31" s="9">
        <v>25.99</v>
      </c>
      <c r="L31" s="9">
        <v>51.98</v>
      </c>
      <c r="M31" s="4" t="s">
        <v>578</v>
      </c>
      <c r="N31" s="4" t="s">
        <v>2508</v>
      </c>
      <c r="O31" s="4"/>
      <c r="P31" s="4" t="s">
        <v>2536</v>
      </c>
      <c r="Q31" s="4" t="s">
        <v>2111</v>
      </c>
      <c r="R31" s="4"/>
      <c r="S31" s="4"/>
      <c r="T31" s="4" t="str">
        <f>HYPERLINK("http://slimages.macys.com/is/image/MCY/20362561 ")</f>
        <v xml:space="preserve">http://slimages.macys.com/is/image/MCY/20362561 </v>
      </c>
    </row>
    <row r="32" spans="1:20" ht="15" customHeight="1" x14ac:dyDescent="0.25">
      <c r="A32" s="4" t="s">
        <v>2489</v>
      </c>
      <c r="B32" s="2" t="s">
        <v>2487</v>
      </c>
      <c r="C32" s="2" t="s">
        <v>2488</v>
      </c>
      <c r="D32" s="5" t="s">
        <v>2490</v>
      </c>
      <c r="E32" s="4" t="s">
        <v>2491</v>
      </c>
      <c r="F32" s="6">
        <v>14264488</v>
      </c>
      <c r="G32" s="3">
        <v>14264488</v>
      </c>
      <c r="H32" s="7">
        <v>192042729503</v>
      </c>
      <c r="I32" s="8" t="s">
        <v>2832</v>
      </c>
      <c r="J32" s="4">
        <v>1</v>
      </c>
      <c r="K32" s="9">
        <v>11.3</v>
      </c>
      <c r="L32" s="9">
        <v>11.3</v>
      </c>
      <c r="M32" s="4" t="s">
        <v>579</v>
      </c>
      <c r="N32" s="4" t="s">
        <v>2501</v>
      </c>
      <c r="O32" s="4">
        <v>8</v>
      </c>
      <c r="P32" s="4" t="s">
        <v>2622</v>
      </c>
      <c r="Q32" s="4" t="s">
        <v>2623</v>
      </c>
      <c r="R32" s="4"/>
      <c r="S32" s="4"/>
      <c r="T32" s="4"/>
    </row>
    <row r="33" spans="1:20" ht="15" customHeight="1" x14ac:dyDescent="0.25">
      <c r="A33" s="4" t="s">
        <v>2489</v>
      </c>
      <c r="B33" s="2" t="s">
        <v>2487</v>
      </c>
      <c r="C33" s="2" t="s">
        <v>2488</v>
      </c>
      <c r="D33" s="5" t="s">
        <v>2490</v>
      </c>
      <c r="E33" s="4" t="s">
        <v>2491</v>
      </c>
      <c r="F33" s="6">
        <v>14264488</v>
      </c>
      <c r="G33" s="3">
        <v>14264488</v>
      </c>
      <c r="H33" s="7">
        <v>194134687630</v>
      </c>
      <c r="I33" s="8" t="s">
        <v>580</v>
      </c>
      <c r="J33" s="4">
        <v>2</v>
      </c>
      <c r="K33" s="9">
        <v>28</v>
      </c>
      <c r="L33" s="9">
        <v>56</v>
      </c>
      <c r="M33" s="4" t="s">
        <v>581</v>
      </c>
      <c r="N33" s="4" t="s">
        <v>3457</v>
      </c>
      <c r="O33" s="4" t="s">
        <v>2566</v>
      </c>
      <c r="P33" s="4" t="s">
        <v>2533</v>
      </c>
      <c r="Q33" s="4" t="s">
        <v>2730</v>
      </c>
      <c r="R33" s="4"/>
      <c r="S33" s="4"/>
      <c r="T33" s="4" t="str">
        <f>HYPERLINK("http://slimages.macys.com/is/image/MCY/19892513 ")</f>
        <v xml:space="preserve">http://slimages.macys.com/is/image/MCY/19892513 </v>
      </c>
    </row>
    <row r="34" spans="1:20" ht="15" customHeight="1" x14ac:dyDescent="0.25">
      <c r="A34" s="4" t="s">
        <v>2489</v>
      </c>
      <c r="B34" s="2" t="s">
        <v>2487</v>
      </c>
      <c r="C34" s="2" t="s">
        <v>2488</v>
      </c>
      <c r="D34" s="5" t="s">
        <v>2490</v>
      </c>
      <c r="E34" s="4" t="s">
        <v>2491</v>
      </c>
      <c r="F34" s="6">
        <v>14264488</v>
      </c>
      <c r="G34" s="3">
        <v>14264488</v>
      </c>
      <c r="H34" s="7">
        <v>47852110242</v>
      </c>
      <c r="I34" s="8" t="s">
        <v>582</v>
      </c>
      <c r="J34" s="4">
        <v>1</v>
      </c>
      <c r="K34" s="9">
        <v>14.98</v>
      </c>
      <c r="L34" s="9">
        <v>14.98</v>
      </c>
      <c r="M34" s="4" t="s">
        <v>583</v>
      </c>
      <c r="N34" s="4"/>
      <c r="O34" s="10">
        <v>45180</v>
      </c>
      <c r="P34" s="4" t="s">
        <v>2666</v>
      </c>
      <c r="Q34" s="4" t="s">
        <v>584</v>
      </c>
      <c r="R34" s="4" t="s">
        <v>2552</v>
      </c>
      <c r="S34" s="4" t="s">
        <v>2593</v>
      </c>
      <c r="T34" s="4" t="str">
        <f>HYPERLINK("http://slimages.macys.com/is/image/MCY/2885301 ")</f>
        <v xml:space="preserve">http://slimages.macys.com/is/image/MCY/2885301 </v>
      </c>
    </row>
    <row r="35" spans="1:20" ht="15" customHeight="1" x14ac:dyDescent="0.25">
      <c r="A35" s="4" t="s">
        <v>2489</v>
      </c>
      <c r="B35" s="2" t="s">
        <v>2487</v>
      </c>
      <c r="C35" s="2" t="s">
        <v>2488</v>
      </c>
      <c r="D35" s="5" t="s">
        <v>2490</v>
      </c>
      <c r="E35" s="4" t="s">
        <v>2491</v>
      </c>
      <c r="F35" s="6">
        <v>14264488</v>
      </c>
      <c r="G35" s="3">
        <v>14264488</v>
      </c>
      <c r="H35" s="7">
        <v>732994854917</v>
      </c>
      <c r="I35" s="8" t="s">
        <v>585</v>
      </c>
      <c r="J35" s="4">
        <v>4</v>
      </c>
      <c r="K35" s="9">
        <v>5.99</v>
      </c>
      <c r="L35" s="9">
        <v>23.96</v>
      </c>
      <c r="M35" s="4" t="s">
        <v>586</v>
      </c>
      <c r="N35" s="4" t="s">
        <v>2497</v>
      </c>
      <c r="O35" s="4" t="s">
        <v>2493</v>
      </c>
      <c r="P35" s="4" t="s">
        <v>2503</v>
      </c>
      <c r="Q35" s="4" t="s">
        <v>2504</v>
      </c>
      <c r="R35" s="4" t="s">
        <v>2552</v>
      </c>
      <c r="S35" s="4" t="s">
        <v>2617</v>
      </c>
      <c r="T35" s="4" t="str">
        <f>HYPERLINK("http://slimages.macys.com/is/image/MCY/11436881 ")</f>
        <v xml:space="preserve">http://slimages.macys.com/is/image/MCY/11436881 </v>
      </c>
    </row>
    <row r="36" spans="1:20" ht="15" customHeight="1" x14ac:dyDescent="0.25">
      <c r="A36" s="4" t="s">
        <v>2489</v>
      </c>
      <c r="B36" s="2" t="s">
        <v>2487</v>
      </c>
      <c r="C36" s="2" t="s">
        <v>2488</v>
      </c>
      <c r="D36" s="5" t="s">
        <v>2490</v>
      </c>
      <c r="E36" s="4" t="s">
        <v>2491</v>
      </c>
      <c r="F36" s="6">
        <v>14264488</v>
      </c>
      <c r="G36" s="3">
        <v>14264488</v>
      </c>
      <c r="H36" s="7">
        <v>192135598665</v>
      </c>
      <c r="I36" s="8" t="s">
        <v>587</v>
      </c>
      <c r="J36" s="4">
        <v>1</v>
      </c>
      <c r="K36" s="9">
        <v>6.99</v>
      </c>
      <c r="L36" s="9">
        <v>6.99</v>
      </c>
      <c r="M36" s="4">
        <v>36525710</v>
      </c>
      <c r="N36" s="4" t="s">
        <v>2501</v>
      </c>
      <c r="O36" s="4">
        <v>8</v>
      </c>
      <c r="P36" s="4" t="s">
        <v>2666</v>
      </c>
      <c r="Q36" s="4" t="s">
        <v>588</v>
      </c>
      <c r="R36" s="4" t="s">
        <v>2552</v>
      </c>
      <c r="S36" s="4" t="s">
        <v>2878</v>
      </c>
      <c r="T36" s="4" t="str">
        <f>HYPERLINK("http://slimages.macys.com/is/image/MCY/11447746 ")</f>
        <v xml:space="preserve">http://slimages.macys.com/is/image/MCY/11447746 </v>
      </c>
    </row>
    <row r="37" spans="1:20" ht="15" customHeight="1" x14ac:dyDescent="0.25">
      <c r="A37" s="4" t="s">
        <v>2489</v>
      </c>
      <c r="B37" s="2" t="s">
        <v>2487</v>
      </c>
      <c r="C37" s="2" t="s">
        <v>2488</v>
      </c>
      <c r="D37" s="5" t="s">
        <v>2490</v>
      </c>
      <c r="E37" s="4" t="s">
        <v>2491</v>
      </c>
      <c r="F37" s="6">
        <v>14264488</v>
      </c>
      <c r="G37" s="3">
        <v>14264488</v>
      </c>
      <c r="H37" s="7">
        <v>195187358263</v>
      </c>
      <c r="I37" s="8" t="s">
        <v>564</v>
      </c>
      <c r="J37" s="4">
        <v>3</v>
      </c>
      <c r="K37" s="9">
        <v>14.5</v>
      </c>
      <c r="L37" s="9">
        <v>43.5</v>
      </c>
      <c r="M37" s="4" t="s">
        <v>565</v>
      </c>
      <c r="N37" s="4" t="s">
        <v>2731</v>
      </c>
      <c r="O37" s="4" t="s">
        <v>2519</v>
      </c>
      <c r="P37" s="4" t="s">
        <v>2536</v>
      </c>
      <c r="Q37" s="4" t="s">
        <v>2981</v>
      </c>
      <c r="R37" s="4"/>
      <c r="S37" s="4"/>
      <c r="T37" s="4"/>
    </row>
    <row r="38" spans="1:20" ht="15" customHeight="1" x14ac:dyDescent="0.25">
      <c r="A38" s="4" t="s">
        <v>2489</v>
      </c>
      <c r="B38" s="2" t="s">
        <v>2487</v>
      </c>
      <c r="C38" s="2" t="s">
        <v>2488</v>
      </c>
      <c r="D38" s="5" t="s">
        <v>2490</v>
      </c>
      <c r="E38" s="4" t="s">
        <v>2491</v>
      </c>
      <c r="F38" s="6">
        <v>14264488</v>
      </c>
      <c r="G38" s="3">
        <v>14264488</v>
      </c>
      <c r="H38" s="7">
        <v>195883817613</v>
      </c>
      <c r="I38" s="8" t="s">
        <v>450</v>
      </c>
      <c r="J38" s="4">
        <v>1</v>
      </c>
      <c r="K38" s="9">
        <v>18.989999999999998</v>
      </c>
      <c r="L38" s="9">
        <v>18.989999999999998</v>
      </c>
      <c r="M38" s="4" t="s">
        <v>451</v>
      </c>
      <c r="N38" s="4" t="s">
        <v>2501</v>
      </c>
      <c r="O38" s="4">
        <v>5</v>
      </c>
      <c r="P38" s="4" t="s">
        <v>2536</v>
      </c>
      <c r="Q38" s="4" t="s">
        <v>2944</v>
      </c>
      <c r="R38" s="4"/>
      <c r="S38" s="4"/>
      <c r="T38" s="4"/>
    </row>
    <row r="39" spans="1:20" ht="15" customHeight="1" x14ac:dyDescent="0.25">
      <c r="A39" s="4" t="s">
        <v>2489</v>
      </c>
      <c r="B39" s="2" t="s">
        <v>2487</v>
      </c>
      <c r="C39" s="2" t="s">
        <v>2488</v>
      </c>
      <c r="D39" s="5" t="s">
        <v>2490</v>
      </c>
      <c r="E39" s="4" t="s">
        <v>2491</v>
      </c>
      <c r="F39" s="6">
        <v>14264488</v>
      </c>
      <c r="G39" s="3">
        <v>14264488</v>
      </c>
      <c r="H39" s="7">
        <v>733002944385</v>
      </c>
      <c r="I39" s="8" t="s">
        <v>589</v>
      </c>
      <c r="J39" s="4">
        <v>1</v>
      </c>
      <c r="K39" s="9">
        <v>5.99</v>
      </c>
      <c r="L39" s="9">
        <v>5.99</v>
      </c>
      <c r="M39" s="4" t="s">
        <v>590</v>
      </c>
      <c r="N39" s="4" t="s">
        <v>2505</v>
      </c>
      <c r="O39" s="4">
        <v>5</v>
      </c>
      <c r="P39" s="4" t="s">
        <v>2520</v>
      </c>
      <c r="Q39" s="4" t="s">
        <v>2528</v>
      </c>
      <c r="R39" s="4"/>
      <c r="S39" s="4"/>
      <c r="T39" s="4" t="str">
        <f>HYPERLINK("http://slimages.macys.com/is/image/MCY/19239542 ")</f>
        <v xml:space="preserve">http://slimages.macys.com/is/image/MCY/19239542 </v>
      </c>
    </row>
    <row r="40" spans="1:20" ht="15" customHeight="1" x14ac:dyDescent="0.25">
      <c r="A40" s="4" t="s">
        <v>2489</v>
      </c>
      <c r="B40" s="2" t="s">
        <v>2487</v>
      </c>
      <c r="C40" s="2" t="s">
        <v>2488</v>
      </c>
      <c r="D40" s="5" t="s">
        <v>2490</v>
      </c>
      <c r="E40" s="4" t="s">
        <v>2491</v>
      </c>
      <c r="F40" s="6">
        <v>14264488</v>
      </c>
      <c r="G40" s="3">
        <v>14264488</v>
      </c>
      <c r="H40" s="7">
        <v>195958094536</v>
      </c>
      <c r="I40" s="8" t="s">
        <v>591</v>
      </c>
      <c r="J40" s="4">
        <v>1</v>
      </c>
      <c r="K40" s="9">
        <v>29.5</v>
      </c>
      <c r="L40" s="9">
        <v>29.5</v>
      </c>
      <c r="M40" s="4" t="s">
        <v>592</v>
      </c>
      <c r="N40" s="4" t="s">
        <v>2497</v>
      </c>
      <c r="O40" s="4"/>
      <c r="P40" s="4" t="s">
        <v>2985</v>
      </c>
      <c r="Q40" s="4" t="s">
        <v>2715</v>
      </c>
      <c r="R40" s="4"/>
      <c r="S40" s="4"/>
      <c r="T40" s="4" t="str">
        <f>HYPERLINK("http://slimages.macys.com/is/image/MCY/20038537 ")</f>
        <v xml:space="preserve">http://slimages.macys.com/is/image/MCY/20038537 </v>
      </c>
    </row>
    <row r="41" spans="1:20" ht="15" customHeight="1" x14ac:dyDescent="0.25">
      <c r="A41" s="4" t="s">
        <v>2489</v>
      </c>
      <c r="B41" s="2" t="s">
        <v>2487</v>
      </c>
      <c r="C41" s="2" t="s">
        <v>2488</v>
      </c>
      <c r="D41" s="5" t="s">
        <v>2490</v>
      </c>
      <c r="E41" s="4" t="s">
        <v>2491</v>
      </c>
      <c r="F41" s="6">
        <v>14264488</v>
      </c>
      <c r="G41" s="3">
        <v>14264488</v>
      </c>
      <c r="H41" s="7">
        <v>194135257979</v>
      </c>
      <c r="I41" s="8" t="s">
        <v>593</v>
      </c>
      <c r="J41" s="4">
        <v>1</v>
      </c>
      <c r="K41" s="9">
        <v>8.64</v>
      </c>
      <c r="L41" s="9">
        <v>8.64</v>
      </c>
      <c r="M41" s="4" t="s">
        <v>594</v>
      </c>
      <c r="N41" s="4"/>
      <c r="O41" s="4" t="s">
        <v>2597</v>
      </c>
      <c r="P41" s="4" t="s">
        <v>2494</v>
      </c>
      <c r="Q41" s="4" t="s">
        <v>2495</v>
      </c>
      <c r="R41" s="4"/>
      <c r="S41" s="4"/>
      <c r="T41" s="4" t="str">
        <f>HYPERLINK("http://slimages.macys.com/is/image/MCY/19146237 ")</f>
        <v xml:space="preserve">http://slimages.macys.com/is/image/MCY/19146237 </v>
      </c>
    </row>
    <row r="42" spans="1:20" ht="15" customHeight="1" x14ac:dyDescent="0.25">
      <c r="A42" s="4" t="s">
        <v>2489</v>
      </c>
      <c r="B42" s="2" t="s">
        <v>2487</v>
      </c>
      <c r="C42" s="2" t="s">
        <v>2488</v>
      </c>
      <c r="D42" s="5" t="s">
        <v>2490</v>
      </c>
      <c r="E42" s="4" t="s">
        <v>2491</v>
      </c>
      <c r="F42" s="6">
        <v>14264488</v>
      </c>
      <c r="G42" s="3">
        <v>14264488</v>
      </c>
      <c r="H42" s="7">
        <v>195958055902</v>
      </c>
      <c r="I42" s="8" t="s">
        <v>595</v>
      </c>
      <c r="J42" s="4">
        <v>1</v>
      </c>
      <c r="K42" s="9">
        <v>29.99</v>
      </c>
      <c r="L42" s="9">
        <v>29.99</v>
      </c>
      <c r="M42" s="4" t="s">
        <v>596</v>
      </c>
      <c r="N42" s="4"/>
      <c r="O42" s="4" t="s">
        <v>2559</v>
      </c>
      <c r="P42" s="4" t="s">
        <v>2562</v>
      </c>
      <c r="Q42" s="4" t="s">
        <v>2989</v>
      </c>
      <c r="R42" s="4"/>
      <c r="S42" s="4"/>
      <c r="T42" s="4" t="str">
        <f>HYPERLINK("http://slimages.macys.com/is/image/MCY/19515195 ")</f>
        <v xml:space="preserve">http://slimages.macys.com/is/image/MCY/19515195 </v>
      </c>
    </row>
    <row r="43" spans="1:20" ht="15" customHeight="1" x14ac:dyDescent="0.25">
      <c r="A43" s="4" t="s">
        <v>2489</v>
      </c>
      <c r="B43" s="2" t="s">
        <v>2487</v>
      </c>
      <c r="C43" s="2" t="s">
        <v>2488</v>
      </c>
      <c r="D43" s="5" t="s">
        <v>2490</v>
      </c>
      <c r="E43" s="4" t="s">
        <v>2491</v>
      </c>
      <c r="F43" s="6">
        <v>14264488</v>
      </c>
      <c r="G43" s="3">
        <v>14264488</v>
      </c>
      <c r="H43" s="7">
        <v>652874275215</v>
      </c>
      <c r="I43" s="8" t="s">
        <v>597</v>
      </c>
      <c r="J43" s="4">
        <v>1</v>
      </c>
      <c r="K43" s="9">
        <v>18.989999999999998</v>
      </c>
      <c r="L43" s="9">
        <v>18.989999999999998</v>
      </c>
      <c r="M43" s="4" t="s">
        <v>532</v>
      </c>
      <c r="N43" s="4" t="s">
        <v>2514</v>
      </c>
      <c r="O43" s="4" t="s">
        <v>2498</v>
      </c>
      <c r="P43" s="4" t="s">
        <v>2536</v>
      </c>
      <c r="Q43" s="4" t="s">
        <v>2537</v>
      </c>
      <c r="R43" s="4"/>
      <c r="S43" s="4"/>
      <c r="T43" s="4" t="str">
        <f>HYPERLINK("http://slimages.macys.com/is/image/MCY/19912627 ")</f>
        <v xml:space="preserve">http://slimages.macys.com/is/image/MCY/19912627 </v>
      </c>
    </row>
    <row r="44" spans="1:20" ht="15" customHeight="1" x14ac:dyDescent="0.25">
      <c r="A44" s="4" t="s">
        <v>2489</v>
      </c>
      <c r="B44" s="2" t="s">
        <v>2487</v>
      </c>
      <c r="C44" s="2" t="s">
        <v>2488</v>
      </c>
      <c r="D44" s="5" t="s">
        <v>2490</v>
      </c>
      <c r="E44" s="4" t="s">
        <v>2491</v>
      </c>
      <c r="F44" s="6">
        <v>14264488</v>
      </c>
      <c r="G44" s="3">
        <v>14264488</v>
      </c>
      <c r="H44" s="7">
        <v>192532115526</v>
      </c>
      <c r="I44" s="8" t="s">
        <v>598</v>
      </c>
      <c r="J44" s="4">
        <v>1</v>
      </c>
      <c r="K44" s="9">
        <v>50</v>
      </c>
      <c r="L44" s="9">
        <v>50</v>
      </c>
      <c r="M44" s="4" t="s">
        <v>599</v>
      </c>
      <c r="N44" s="4" t="s">
        <v>3252</v>
      </c>
      <c r="O44" s="4" t="s">
        <v>2705</v>
      </c>
      <c r="P44" s="4" t="s">
        <v>2533</v>
      </c>
      <c r="Q44" s="4" t="s">
        <v>2073</v>
      </c>
      <c r="R44" s="4"/>
      <c r="S44" s="4"/>
      <c r="T44" s="4" t="str">
        <f>HYPERLINK("http://slimages.macys.com/is/image/MCY/18833288 ")</f>
        <v xml:space="preserve">http://slimages.macys.com/is/image/MCY/18833288 </v>
      </c>
    </row>
    <row r="45" spans="1:20" ht="15" customHeight="1" x14ac:dyDescent="0.25">
      <c r="A45" s="4" t="s">
        <v>2489</v>
      </c>
      <c r="B45" s="2" t="s">
        <v>2487</v>
      </c>
      <c r="C45" s="2" t="s">
        <v>2488</v>
      </c>
      <c r="D45" s="5" t="s">
        <v>2490</v>
      </c>
      <c r="E45" s="4" t="s">
        <v>2491</v>
      </c>
      <c r="F45" s="6">
        <v>14264488</v>
      </c>
      <c r="G45" s="3">
        <v>14264488</v>
      </c>
      <c r="H45" s="7">
        <v>194753854512</v>
      </c>
      <c r="I45" s="8" t="s">
        <v>600</v>
      </c>
      <c r="J45" s="4">
        <v>1</v>
      </c>
      <c r="K45" s="9">
        <v>24.99</v>
      </c>
      <c r="L45" s="9">
        <v>24.99</v>
      </c>
      <c r="M45" s="4" t="s">
        <v>601</v>
      </c>
      <c r="N45" s="4" t="s">
        <v>2544</v>
      </c>
      <c r="O45" s="4" t="s">
        <v>2559</v>
      </c>
      <c r="P45" s="4" t="s">
        <v>2562</v>
      </c>
      <c r="Q45" s="4" t="s">
        <v>2603</v>
      </c>
      <c r="R45" s="4"/>
      <c r="S45" s="4"/>
      <c r="T45" s="4" t="str">
        <f>HYPERLINK("http://slimages.macys.com/is/image/MCY/19682039 ")</f>
        <v xml:space="preserve">http://slimages.macys.com/is/image/MCY/19682039 </v>
      </c>
    </row>
    <row r="46" spans="1:20" ht="15" customHeight="1" x14ac:dyDescent="0.25">
      <c r="A46" s="4" t="s">
        <v>2489</v>
      </c>
      <c r="B46" s="2" t="s">
        <v>2487</v>
      </c>
      <c r="C46" s="2" t="s">
        <v>2488</v>
      </c>
      <c r="D46" s="5" t="s">
        <v>2490</v>
      </c>
      <c r="E46" s="4" t="s">
        <v>2491</v>
      </c>
      <c r="F46" s="6">
        <v>14264488</v>
      </c>
      <c r="G46" s="3">
        <v>14264488</v>
      </c>
      <c r="H46" s="7">
        <v>195958099326</v>
      </c>
      <c r="I46" s="8" t="s">
        <v>602</v>
      </c>
      <c r="J46" s="4">
        <v>1</v>
      </c>
      <c r="K46" s="9">
        <v>54.5</v>
      </c>
      <c r="L46" s="9">
        <v>54.5</v>
      </c>
      <c r="M46" s="4" t="s">
        <v>603</v>
      </c>
      <c r="N46" s="4" t="s">
        <v>2728</v>
      </c>
      <c r="O46" s="4"/>
      <c r="P46" s="4" t="s">
        <v>2985</v>
      </c>
      <c r="Q46" s="4" t="s">
        <v>2715</v>
      </c>
      <c r="R46" s="4"/>
      <c r="S46" s="4"/>
      <c r="T46" s="4" t="str">
        <f>HYPERLINK("http://slimages.macys.com/is/image/MCY/19902746 ")</f>
        <v xml:space="preserve">http://slimages.macys.com/is/image/MCY/19902746 </v>
      </c>
    </row>
    <row r="47" spans="1:20" ht="15" customHeight="1" x14ac:dyDescent="0.25">
      <c r="A47" s="4" t="s">
        <v>2489</v>
      </c>
      <c r="B47" s="2" t="s">
        <v>2487</v>
      </c>
      <c r="C47" s="2" t="s">
        <v>2488</v>
      </c>
      <c r="D47" s="5" t="s">
        <v>2490</v>
      </c>
      <c r="E47" s="4" t="s">
        <v>2491</v>
      </c>
      <c r="F47" s="6">
        <v>14264488</v>
      </c>
      <c r="G47" s="3">
        <v>14264488</v>
      </c>
      <c r="H47" s="7">
        <v>194753785748</v>
      </c>
      <c r="I47" s="8" t="s">
        <v>604</v>
      </c>
      <c r="J47" s="4">
        <v>1</v>
      </c>
      <c r="K47" s="9">
        <v>42.5</v>
      </c>
      <c r="L47" s="9">
        <v>42.5</v>
      </c>
      <c r="M47" s="4" t="s">
        <v>605</v>
      </c>
      <c r="N47" s="4" t="s">
        <v>2505</v>
      </c>
      <c r="O47" s="4">
        <v>7</v>
      </c>
      <c r="P47" s="4" t="s">
        <v>2876</v>
      </c>
      <c r="Q47" s="4" t="s">
        <v>2877</v>
      </c>
      <c r="R47" s="4"/>
      <c r="S47" s="4"/>
      <c r="T47" s="4" t="str">
        <f>HYPERLINK("http://slimages.macys.com/is/image/MCY/19705148 ")</f>
        <v xml:space="preserve">http://slimages.macys.com/is/image/MCY/19705148 </v>
      </c>
    </row>
    <row r="48" spans="1:20" ht="15" customHeight="1" x14ac:dyDescent="0.25">
      <c r="A48" s="4" t="s">
        <v>2489</v>
      </c>
      <c r="B48" s="2" t="s">
        <v>2487</v>
      </c>
      <c r="C48" s="2" t="s">
        <v>2488</v>
      </c>
      <c r="D48" s="5" t="s">
        <v>2490</v>
      </c>
      <c r="E48" s="4" t="s">
        <v>2491</v>
      </c>
      <c r="F48" s="6">
        <v>14264488</v>
      </c>
      <c r="G48" s="3">
        <v>14264488</v>
      </c>
      <c r="H48" s="7">
        <v>733004087851</v>
      </c>
      <c r="I48" s="8" t="s">
        <v>606</v>
      </c>
      <c r="J48" s="4">
        <v>1</v>
      </c>
      <c r="K48" s="9">
        <v>13.99</v>
      </c>
      <c r="L48" s="9">
        <v>13.99</v>
      </c>
      <c r="M48" s="4" t="s">
        <v>607</v>
      </c>
      <c r="N48" s="4" t="s">
        <v>2596</v>
      </c>
      <c r="O48" s="4" t="s">
        <v>2498</v>
      </c>
      <c r="P48" s="4" t="s">
        <v>2543</v>
      </c>
      <c r="Q48" s="4" t="s">
        <v>2528</v>
      </c>
      <c r="R48" s="4"/>
      <c r="S48" s="4"/>
      <c r="T48" s="4" t="str">
        <f>HYPERLINK("http://slimages.macys.com/is/image/MCY/19988460 ")</f>
        <v xml:space="preserve">http://slimages.macys.com/is/image/MCY/19988460 </v>
      </c>
    </row>
    <row r="49" spans="1:20" ht="15" customHeight="1" x14ac:dyDescent="0.25">
      <c r="A49" s="4" t="s">
        <v>2489</v>
      </c>
      <c r="B49" s="2" t="s">
        <v>2487</v>
      </c>
      <c r="C49" s="2" t="s">
        <v>2488</v>
      </c>
      <c r="D49" s="5" t="s">
        <v>2490</v>
      </c>
      <c r="E49" s="4" t="s">
        <v>2491</v>
      </c>
      <c r="F49" s="6">
        <v>14264488</v>
      </c>
      <c r="G49" s="3">
        <v>14264488</v>
      </c>
      <c r="H49" s="7">
        <v>666980521401</v>
      </c>
      <c r="I49" s="8" t="s">
        <v>608</v>
      </c>
      <c r="J49" s="4">
        <v>2</v>
      </c>
      <c r="K49" s="9">
        <v>19.989999999999998</v>
      </c>
      <c r="L49" s="9">
        <v>39.979999999999997</v>
      </c>
      <c r="M49" s="4" t="s">
        <v>609</v>
      </c>
      <c r="N49" s="4" t="s">
        <v>2523</v>
      </c>
      <c r="O49" s="4" t="s">
        <v>610</v>
      </c>
      <c r="P49" s="4" t="s">
        <v>2655</v>
      </c>
      <c r="Q49" s="4" t="s">
        <v>2643</v>
      </c>
      <c r="R49" s="4" t="s">
        <v>2552</v>
      </c>
      <c r="S49" s="4" t="s">
        <v>2678</v>
      </c>
      <c r="T49" s="4" t="str">
        <f>HYPERLINK("http://slimages.macys.com/is/image/MCY/2822469 ")</f>
        <v xml:space="preserve">http://slimages.macys.com/is/image/MCY/2822469 </v>
      </c>
    </row>
    <row r="50" spans="1:20" ht="15" customHeight="1" x14ac:dyDescent="0.25">
      <c r="A50" s="4" t="s">
        <v>2489</v>
      </c>
      <c r="B50" s="2" t="s">
        <v>2487</v>
      </c>
      <c r="C50" s="2" t="s">
        <v>2488</v>
      </c>
      <c r="D50" s="5" t="s">
        <v>2490</v>
      </c>
      <c r="E50" s="4" t="s">
        <v>2491</v>
      </c>
      <c r="F50" s="6">
        <v>14264488</v>
      </c>
      <c r="G50" s="3">
        <v>14264488</v>
      </c>
      <c r="H50" s="7">
        <v>733003171216</v>
      </c>
      <c r="I50" s="8" t="s">
        <v>1596</v>
      </c>
      <c r="J50" s="4">
        <v>1</v>
      </c>
      <c r="K50" s="9">
        <v>14.99</v>
      </c>
      <c r="L50" s="9">
        <v>14.99</v>
      </c>
      <c r="M50" s="4" t="s">
        <v>1529</v>
      </c>
      <c r="N50" s="4" t="s">
        <v>2530</v>
      </c>
      <c r="O50" s="4" t="s">
        <v>2671</v>
      </c>
      <c r="P50" s="4" t="s">
        <v>2515</v>
      </c>
      <c r="Q50" s="4" t="s">
        <v>2672</v>
      </c>
      <c r="R50" s="4"/>
      <c r="S50" s="4"/>
      <c r="T50" s="4" t="str">
        <f>HYPERLINK("http://slimages.macys.com/is/image/MCY/18926624 ")</f>
        <v xml:space="preserve">http://slimages.macys.com/is/image/MCY/18926624 </v>
      </c>
    </row>
    <row r="51" spans="1:20" ht="15" customHeight="1" x14ac:dyDescent="0.25">
      <c r="A51" s="4" t="s">
        <v>2489</v>
      </c>
      <c r="B51" s="2" t="s">
        <v>2487</v>
      </c>
      <c r="C51" s="2" t="s">
        <v>2488</v>
      </c>
      <c r="D51" s="5" t="s">
        <v>2490</v>
      </c>
      <c r="E51" s="4" t="s">
        <v>2491</v>
      </c>
      <c r="F51" s="6">
        <v>14264488</v>
      </c>
      <c r="G51" s="3">
        <v>14264488</v>
      </c>
      <c r="H51" s="7">
        <v>195958005518</v>
      </c>
      <c r="I51" s="8" t="s">
        <v>611</v>
      </c>
      <c r="J51" s="4">
        <v>1</v>
      </c>
      <c r="K51" s="9">
        <v>42.5</v>
      </c>
      <c r="L51" s="9">
        <v>42.5</v>
      </c>
      <c r="M51" s="4" t="s">
        <v>612</v>
      </c>
      <c r="N51" s="4" t="s">
        <v>2497</v>
      </c>
      <c r="O51" s="4">
        <v>16</v>
      </c>
      <c r="P51" s="4" t="s">
        <v>2866</v>
      </c>
      <c r="Q51" s="4" t="s">
        <v>2656</v>
      </c>
      <c r="R51" s="4"/>
      <c r="S51" s="4"/>
      <c r="T51" s="4" t="str">
        <f>HYPERLINK("http://slimages.macys.com/is/image/MCY/20227356 ")</f>
        <v xml:space="preserve">http://slimages.macys.com/is/image/MCY/20227356 </v>
      </c>
    </row>
    <row r="52" spans="1:20" ht="15" customHeight="1" x14ac:dyDescent="0.25">
      <c r="A52" s="4" t="s">
        <v>2489</v>
      </c>
      <c r="B52" s="2" t="s">
        <v>2487</v>
      </c>
      <c r="C52" s="2" t="s">
        <v>2488</v>
      </c>
      <c r="D52" s="5" t="s">
        <v>2490</v>
      </c>
      <c r="E52" s="4" t="s">
        <v>2491</v>
      </c>
      <c r="F52" s="6">
        <v>14264488</v>
      </c>
      <c r="G52" s="3">
        <v>14264488</v>
      </c>
      <c r="H52" s="7">
        <v>660168631432</v>
      </c>
      <c r="I52" s="8" t="s">
        <v>613</v>
      </c>
      <c r="J52" s="4">
        <v>1</v>
      </c>
      <c r="K52" s="9">
        <v>13.99</v>
      </c>
      <c r="L52" s="9">
        <v>13.99</v>
      </c>
      <c r="M52" s="4" t="s">
        <v>614</v>
      </c>
      <c r="N52" s="4" t="s">
        <v>2523</v>
      </c>
      <c r="O52" s="4"/>
      <c r="P52" s="4" t="s">
        <v>2533</v>
      </c>
      <c r="Q52" s="4" t="s">
        <v>2534</v>
      </c>
      <c r="R52" s="4"/>
      <c r="S52" s="4"/>
      <c r="T52" s="4" t="str">
        <f>HYPERLINK("http://slimages.macys.com/is/image/MCY/17107795 ")</f>
        <v xml:space="preserve">http://slimages.macys.com/is/image/MCY/17107795 </v>
      </c>
    </row>
    <row r="53" spans="1:20" ht="15" customHeight="1" x14ac:dyDescent="0.25">
      <c r="A53" s="4" t="s">
        <v>2489</v>
      </c>
      <c r="B53" s="2" t="s">
        <v>2487</v>
      </c>
      <c r="C53" s="2" t="s">
        <v>2488</v>
      </c>
      <c r="D53" s="5" t="s">
        <v>2490</v>
      </c>
      <c r="E53" s="4" t="s">
        <v>2491</v>
      </c>
      <c r="F53" s="6">
        <v>14264488</v>
      </c>
      <c r="G53" s="3">
        <v>14264488</v>
      </c>
      <c r="H53" s="7">
        <v>888737807327</v>
      </c>
      <c r="I53" s="8" t="s">
        <v>615</v>
      </c>
      <c r="J53" s="4">
        <v>1</v>
      </c>
      <c r="K53" s="9">
        <v>34</v>
      </c>
      <c r="L53" s="9">
        <v>34</v>
      </c>
      <c r="M53" s="4" t="s">
        <v>616</v>
      </c>
      <c r="N53" s="4" t="s">
        <v>2600</v>
      </c>
      <c r="O53" s="4">
        <v>7</v>
      </c>
      <c r="P53" s="4" t="s">
        <v>2510</v>
      </c>
      <c r="Q53" s="4" t="s">
        <v>2549</v>
      </c>
      <c r="R53" s="4"/>
      <c r="S53" s="4"/>
      <c r="T53" s="4"/>
    </row>
    <row r="54" spans="1:20" ht="15" customHeight="1" x14ac:dyDescent="0.25">
      <c r="A54" s="4" t="s">
        <v>2489</v>
      </c>
      <c r="B54" s="2" t="s">
        <v>2487</v>
      </c>
      <c r="C54" s="2" t="s">
        <v>2488</v>
      </c>
      <c r="D54" s="5" t="s">
        <v>2490</v>
      </c>
      <c r="E54" s="4" t="s">
        <v>2491</v>
      </c>
      <c r="F54" s="6">
        <v>14264488</v>
      </c>
      <c r="G54" s="3">
        <v>14264488</v>
      </c>
      <c r="H54" s="7">
        <v>732995635560</v>
      </c>
      <c r="I54" s="8" t="s">
        <v>617</v>
      </c>
      <c r="J54" s="4">
        <v>2</v>
      </c>
      <c r="K54" s="9">
        <v>5.99</v>
      </c>
      <c r="L54" s="9">
        <v>11.98</v>
      </c>
      <c r="M54" s="4" t="s">
        <v>618</v>
      </c>
      <c r="N54" s="4" t="s">
        <v>2505</v>
      </c>
      <c r="O54" s="4" t="s">
        <v>2566</v>
      </c>
      <c r="P54" s="4" t="s">
        <v>2503</v>
      </c>
      <c r="Q54" s="4" t="s">
        <v>2504</v>
      </c>
      <c r="R54" s="4" t="s">
        <v>2552</v>
      </c>
      <c r="S54" s="4" t="s">
        <v>2834</v>
      </c>
      <c r="T54" s="4" t="str">
        <f>HYPERLINK("http://slimages.macys.com/is/image/MCY/11855486 ")</f>
        <v xml:space="preserve">http://slimages.macys.com/is/image/MCY/11855486 </v>
      </c>
    </row>
    <row r="55" spans="1:20" ht="15" customHeight="1" x14ac:dyDescent="0.25">
      <c r="A55" s="4" t="s">
        <v>2489</v>
      </c>
      <c r="B55" s="2" t="s">
        <v>2487</v>
      </c>
      <c r="C55" s="2" t="s">
        <v>2488</v>
      </c>
      <c r="D55" s="5" t="s">
        <v>2490</v>
      </c>
      <c r="E55" s="4" t="s">
        <v>2491</v>
      </c>
      <c r="F55" s="6">
        <v>14264488</v>
      </c>
      <c r="G55" s="3">
        <v>14264488</v>
      </c>
      <c r="H55" s="7">
        <v>194135734500</v>
      </c>
      <c r="I55" s="8" t="s">
        <v>619</v>
      </c>
      <c r="J55" s="4">
        <v>1</v>
      </c>
      <c r="K55" s="9">
        <v>14.62</v>
      </c>
      <c r="L55" s="9">
        <v>14.62</v>
      </c>
      <c r="M55" s="4" t="s">
        <v>620</v>
      </c>
      <c r="N55" s="4"/>
      <c r="O55" s="4"/>
      <c r="P55" s="4" t="s">
        <v>2657</v>
      </c>
      <c r="Q55" s="4" t="s">
        <v>2658</v>
      </c>
      <c r="R55" s="4"/>
      <c r="S55" s="4"/>
      <c r="T55" s="4" t="str">
        <f>HYPERLINK("http://slimages.macys.com/is/image/MCY/20193733 ")</f>
        <v xml:space="preserve">http://slimages.macys.com/is/image/MCY/20193733 </v>
      </c>
    </row>
    <row r="56" spans="1:20" ht="15" customHeight="1" x14ac:dyDescent="0.25">
      <c r="A56" s="4" t="s">
        <v>2489</v>
      </c>
      <c r="B56" s="2" t="s">
        <v>2487</v>
      </c>
      <c r="C56" s="2" t="s">
        <v>2488</v>
      </c>
      <c r="D56" s="5" t="s">
        <v>2490</v>
      </c>
      <c r="E56" s="4" t="s">
        <v>2491</v>
      </c>
      <c r="F56" s="6">
        <v>14264488</v>
      </c>
      <c r="G56" s="3">
        <v>14264488</v>
      </c>
      <c r="H56" s="7">
        <v>194476837533</v>
      </c>
      <c r="I56" s="8" t="s">
        <v>621</v>
      </c>
      <c r="J56" s="4">
        <v>1</v>
      </c>
      <c r="K56" s="9">
        <v>45</v>
      </c>
      <c r="L56" s="9">
        <v>45</v>
      </c>
      <c r="M56" s="4" t="s">
        <v>622</v>
      </c>
      <c r="N56" s="4" t="s">
        <v>2497</v>
      </c>
      <c r="O56" s="4">
        <v>28</v>
      </c>
      <c r="P56" s="4" t="s">
        <v>2725</v>
      </c>
      <c r="Q56" s="4" t="s">
        <v>2932</v>
      </c>
      <c r="R56" s="4"/>
      <c r="S56" s="4"/>
      <c r="T56" s="4" t="str">
        <f>HYPERLINK("http://slimages.macys.com/is/image/MCY/19784125 ")</f>
        <v xml:space="preserve">http://slimages.macys.com/is/image/MCY/19784125 </v>
      </c>
    </row>
    <row r="57" spans="1:20" ht="15" customHeight="1" x14ac:dyDescent="0.25">
      <c r="A57" s="4" t="s">
        <v>2489</v>
      </c>
      <c r="B57" s="2" t="s">
        <v>2487</v>
      </c>
      <c r="C57" s="2" t="s">
        <v>2488</v>
      </c>
      <c r="D57" s="5" t="s">
        <v>2490</v>
      </c>
      <c r="E57" s="4" t="s">
        <v>2491</v>
      </c>
      <c r="F57" s="6">
        <v>14264488</v>
      </c>
      <c r="G57" s="3">
        <v>14264488</v>
      </c>
      <c r="H57" s="7">
        <v>733003170721</v>
      </c>
      <c r="I57" s="8" t="s">
        <v>623</v>
      </c>
      <c r="J57" s="4">
        <v>1</v>
      </c>
      <c r="K57" s="9">
        <v>12.99</v>
      </c>
      <c r="L57" s="9">
        <v>12.99</v>
      </c>
      <c r="M57" s="4" t="s">
        <v>624</v>
      </c>
      <c r="N57" s="4" t="s">
        <v>2638</v>
      </c>
      <c r="O57" s="4" t="s">
        <v>2650</v>
      </c>
      <c r="P57" s="4" t="s">
        <v>2515</v>
      </c>
      <c r="Q57" s="4" t="s">
        <v>2672</v>
      </c>
      <c r="R57" s="4"/>
      <c r="S57" s="4"/>
      <c r="T57" s="4" t="str">
        <f>HYPERLINK("http://slimages.macys.com/is/image/MCY/18926740 ")</f>
        <v xml:space="preserve">http://slimages.macys.com/is/image/MCY/18926740 </v>
      </c>
    </row>
    <row r="58" spans="1:20" ht="15" customHeight="1" x14ac:dyDescent="0.25">
      <c r="A58" s="4" t="s">
        <v>2489</v>
      </c>
      <c r="B58" s="2" t="s">
        <v>2487</v>
      </c>
      <c r="C58" s="2" t="s">
        <v>2488</v>
      </c>
      <c r="D58" s="5" t="s">
        <v>2490</v>
      </c>
      <c r="E58" s="4" t="s">
        <v>2491</v>
      </c>
      <c r="F58" s="6">
        <v>14264488</v>
      </c>
      <c r="G58" s="3">
        <v>14264488</v>
      </c>
      <c r="H58" s="7">
        <v>191539852922</v>
      </c>
      <c r="I58" s="8" t="s">
        <v>625</v>
      </c>
      <c r="J58" s="4">
        <v>1</v>
      </c>
      <c r="K58" s="9">
        <v>44.99</v>
      </c>
      <c r="L58" s="9">
        <v>44.99</v>
      </c>
      <c r="M58" s="4" t="s">
        <v>2763</v>
      </c>
      <c r="N58" s="4" t="s">
        <v>2523</v>
      </c>
      <c r="O58" s="4">
        <v>16</v>
      </c>
      <c r="P58" s="4" t="s">
        <v>2634</v>
      </c>
      <c r="Q58" s="4" t="s">
        <v>2764</v>
      </c>
      <c r="R58" s="4"/>
      <c r="S58" s="4"/>
      <c r="T58" s="4" t="str">
        <f>HYPERLINK("http://slimages.macys.com/is/image/MCY/20157819 ")</f>
        <v xml:space="preserve">http://slimages.macys.com/is/image/MCY/20157819 </v>
      </c>
    </row>
    <row r="59" spans="1:20" ht="15" customHeight="1" x14ac:dyDescent="0.25">
      <c r="A59" s="4" t="s">
        <v>2489</v>
      </c>
      <c r="B59" s="2" t="s">
        <v>2487</v>
      </c>
      <c r="C59" s="2" t="s">
        <v>2488</v>
      </c>
      <c r="D59" s="5" t="s">
        <v>2490</v>
      </c>
      <c r="E59" s="4" t="s">
        <v>2491</v>
      </c>
      <c r="F59" s="6">
        <v>14264488</v>
      </c>
      <c r="G59" s="3">
        <v>14264488</v>
      </c>
      <c r="H59" s="7">
        <v>194753785731</v>
      </c>
      <c r="I59" s="8" t="s">
        <v>626</v>
      </c>
      <c r="J59" s="4">
        <v>1</v>
      </c>
      <c r="K59" s="9">
        <v>42.5</v>
      </c>
      <c r="L59" s="9">
        <v>42.5</v>
      </c>
      <c r="M59" s="4" t="s">
        <v>605</v>
      </c>
      <c r="N59" s="4" t="s">
        <v>2505</v>
      </c>
      <c r="O59" s="4" t="s">
        <v>2861</v>
      </c>
      <c r="P59" s="4" t="s">
        <v>2876</v>
      </c>
      <c r="Q59" s="4" t="s">
        <v>2877</v>
      </c>
      <c r="R59" s="4"/>
      <c r="S59" s="4"/>
      <c r="T59" s="4" t="str">
        <f>HYPERLINK("http://slimages.macys.com/is/image/MCY/19705148 ")</f>
        <v xml:space="preserve">http://slimages.macys.com/is/image/MCY/19705148 </v>
      </c>
    </row>
    <row r="60" spans="1:20" ht="15" customHeight="1" x14ac:dyDescent="0.25">
      <c r="A60" s="4" t="s">
        <v>2489</v>
      </c>
      <c r="B60" s="2" t="s">
        <v>2487</v>
      </c>
      <c r="C60" s="2" t="s">
        <v>2488</v>
      </c>
      <c r="D60" s="5" t="s">
        <v>2490</v>
      </c>
      <c r="E60" s="4" t="s">
        <v>2491</v>
      </c>
      <c r="F60" s="6">
        <v>14264488</v>
      </c>
      <c r="G60" s="3">
        <v>14264488</v>
      </c>
      <c r="H60" s="7">
        <v>195883817644</v>
      </c>
      <c r="I60" s="8" t="s">
        <v>1587</v>
      </c>
      <c r="J60" s="4">
        <v>1</v>
      </c>
      <c r="K60" s="9">
        <v>18.989999999999998</v>
      </c>
      <c r="L60" s="9">
        <v>18.989999999999998</v>
      </c>
      <c r="M60" s="4" t="s">
        <v>1588</v>
      </c>
      <c r="N60" s="4" t="s">
        <v>2514</v>
      </c>
      <c r="O60" s="4" t="s">
        <v>2705</v>
      </c>
      <c r="P60" s="4" t="s">
        <v>2536</v>
      </c>
      <c r="Q60" s="4" t="s">
        <v>2944</v>
      </c>
      <c r="R60" s="4"/>
      <c r="S60" s="4"/>
      <c r="T60" s="4"/>
    </row>
    <row r="61" spans="1:20" ht="15" customHeight="1" x14ac:dyDescent="0.25">
      <c r="A61" s="4" t="s">
        <v>2489</v>
      </c>
      <c r="B61" s="2" t="s">
        <v>2487</v>
      </c>
      <c r="C61" s="2" t="s">
        <v>2488</v>
      </c>
      <c r="D61" s="5" t="s">
        <v>2490</v>
      </c>
      <c r="E61" s="4" t="s">
        <v>2491</v>
      </c>
      <c r="F61" s="6">
        <v>14264488</v>
      </c>
      <c r="G61" s="3">
        <v>14264488</v>
      </c>
      <c r="H61" s="7">
        <v>195958156524</v>
      </c>
      <c r="I61" s="8" t="s">
        <v>627</v>
      </c>
      <c r="J61" s="4">
        <v>1</v>
      </c>
      <c r="K61" s="9">
        <v>37.5</v>
      </c>
      <c r="L61" s="9">
        <v>37.5</v>
      </c>
      <c r="M61" s="4" t="s">
        <v>628</v>
      </c>
      <c r="N61" s="4" t="s">
        <v>2505</v>
      </c>
      <c r="O61" s="4">
        <v>6</v>
      </c>
      <c r="P61" s="4" t="s">
        <v>2876</v>
      </c>
      <c r="Q61" s="4" t="s">
        <v>2877</v>
      </c>
      <c r="R61" s="4"/>
      <c r="S61" s="4"/>
      <c r="T61" s="4" t="str">
        <f>HYPERLINK("http://slimages.macys.com/is/image/MCY/19715425 ")</f>
        <v xml:space="preserve">http://slimages.macys.com/is/image/MCY/19715425 </v>
      </c>
    </row>
    <row r="62" spans="1:20" ht="15" customHeight="1" x14ac:dyDescent="0.25">
      <c r="A62" s="4" t="s">
        <v>2489</v>
      </c>
      <c r="B62" s="2" t="s">
        <v>2487</v>
      </c>
      <c r="C62" s="2" t="s">
        <v>2488</v>
      </c>
      <c r="D62" s="5" t="s">
        <v>2490</v>
      </c>
      <c r="E62" s="4" t="s">
        <v>2491</v>
      </c>
      <c r="F62" s="6">
        <v>14264488</v>
      </c>
      <c r="G62" s="3">
        <v>14264488</v>
      </c>
      <c r="H62" s="7">
        <v>733003169695</v>
      </c>
      <c r="I62" s="8" t="s">
        <v>629</v>
      </c>
      <c r="J62" s="4">
        <v>1</v>
      </c>
      <c r="K62" s="9">
        <v>11.99</v>
      </c>
      <c r="L62" s="9">
        <v>11.99</v>
      </c>
      <c r="M62" s="4" t="s">
        <v>1523</v>
      </c>
      <c r="N62" s="4" t="s">
        <v>2561</v>
      </c>
      <c r="O62" s="4" t="s">
        <v>2519</v>
      </c>
      <c r="P62" s="4" t="s">
        <v>2515</v>
      </c>
      <c r="Q62" s="4" t="s">
        <v>2672</v>
      </c>
      <c r="R62" s="4"/>
      <c r="S62" s="4"/>
      <c r="T62" s="4" t="str">
        <f>HYPERLINK("http://slimages.macys.com/is/image/MCY/18926750 ")</f>
        <v xml:space="preserve">http://slimages.macys.com/is/image/MCY/18926750 </v>
      </c>
    </row>
    <row r="63" spans="1:20" ht="15" customHeight="1" x14ac:dyDescent="0.25">
      <c r="A63" s="4" t="s">
        <v>2489</v>
      </c>
      <c r="B63" s="2" t="s">
        <v>2487</v>
      </c>
      <c r="C63" s="2" t="s">
        <v>2488</v>
      </c>
      <c r="D63" s="5" t="s">
        <v>2490</v>
      </c>
      <c r="E63" s="4" t="s">
        <v>2491</v>
      </c>
      <c r="F63" s="6">
        <v>14264488</v>
      </c>
      <c r="G63" s="3">
        <v>14264488</v>
      </c>
      <c r="H63" s="7">
        <v>194819871569</v>
      </c>
      <c r="I63" s="8" t="s">
        <v>630</v>
      </c>
      <c r="J63" s="4">
        <v>2</v>
      </c>
      <c r="K63" s="9">
        <v>45</v>
      </c>
      <c r="L63" s="9">
        <v>90</v>
      </c>
      <c r="M63" s="4" t="s">
        <v>631</v>
      </c>
      <c r="N63" s="4" t="s">
        <v>2514</v>
      </c>
      <c r="O63" s="4" t="s">
        <v>2498</v>
      </c>
      <c r="P63" s="4" t="s">
        <v>2619</v>
      </c>
      <c r="Q63" s="4" t="s">
        <v>2760</v>
      </c>
      <c r="R63" s="4"/>
      <c r="S63" s="4"/>
      <c r="T63" s="4" t="str">
        <f>HYPERLINK("http://slimages.macys.com/is/image/MCY/17954755 ")</f>
        <v xml:space="preserve">http://slimages.macys.com/is/image/MCY/17954755 </v>
      </c>
    </row>
    <row r="64" spans="1:20" ht="15" customHeight="1" x14ac:dyDescent="0.25">
      <c r="A64" s="4" t="s">
        <v>2489</v>
      </c>
      <c r="B64" s="2" t="s">
        <v>2487</v>
      </c>
      <c r="C64" s="2" t="s">
        <v>2488</v>
      </c>
      <c r="D64" s="5" t="s">
        <v>2490</v>
      </c>
      <c r="E64" s="4" t="s">
        <v>2491</v>
      </c>
      <c r="F64" s="6">
        <v>14264488</v>
      </c>
      <c r="G64" s="3">
        <v>14264488</v>
      </c>
      <c r="H64" s="7">
        <v>195958214767</v>
      </c>
      <c r="I64" s="8" t="s">
        <v>632</v>
      </c>
      <c r="J64" s="4">
        <v>1</v>
      </c>
      <c r="K64" s="9">
        <v>24.5</v>
      </c>
      <c r="L64" s="9">
        <v>24.5</v>
      </c>
      <c r="M64" s="4" t="s">
        <v>633</v>
      </c>
      <c r="N64" s="4" t="s">
        <v>2497</v>
      </c>
      <c r="O64" s="4">
        <v>7</v>
      </c>
      <c r="P64" s="4" t="s">
        <v>3283</v>
      </c>
      <c r="Q64" s="4" t="s">
        <v>2656</v>
      </c>
      <c r="R64" s="4"/>
      <c r="S64" s="4"/>
      <c r="T64" s="4" t="str">
        <f>HYPERLINK("http://slimages.macys.com/is/image/MCY/19832235 ")</f>
        <v xml:space="preserve">http://slimages.macys.com/is/image/MCY/19832235 </v>
      </c>
    </row>
    <row r="65" spans="1:20" ht="15" customHeight="1" x14ac:dyDescent="0.25">
      <c r="A65" s="4" t="s">
        <v>2489</v>
      </c>
      <c r="B65" s="2" t="s">
        <v>2487</v>
      </c>
      <c r="C65" s="2" t="s">
        <v>2488</v>
      </c>
      <c r="D65" s="5" t="s">
        <v>2490</v>
      </c>
      <c r="E65" s="4" t="s">
        <v>2491</v>
      </c>
      <c r="F65" s="6">
        <v>14264488</v>
      </c>
      <c r="G65" s="3">
        <v>14264488</v>
      </c>
      <c r="H65" s="7">
        <v>195958005297</v>
      </c>
      <c r="I65" s="8" t="s">
        <v>634</v>
      </c>
      <c r="J65" s="4">
        <v>1</v>
      </c>
      <c r="K65" s="9">
        <v>29.5</v>
      </c>
      <c r="L65" s="9">
        <v>29.5</v>
      </c>
      <c r="M65" s="4" t="s">
        <v>635</v>
      </c>
      <c r="N65" s="4" t="s">
        <v>2501</v>
      </c>
      <c r="O65" s="4"/>
      <c r="P65" s="4" t="s">
        <v>2866</v>
      </c>
      <c r="Q65" s="4" t="s">
        <v>2656</v>
      </c>
      <c r="R65" s="4"/>
      <c r="S65" s="4"/>
      <c r="T65" s="4" t="str">
        <f>HYPERLINK("http://slimages.macys.com/is/image/MCY/20114338 ")</f>
        <v xml:space="preserve">http://slimages.macys.com/is/image/MCY/20114338 </v>
      </c>
    </row>
    <row r="66" spans="1:20" ht="15" customHeight="1" x14ac:dyDescent="0.25">
      <c r="A66" s="4" t="s">
        <v>2489</v>
      </c>
      <c r="B66" s="2" t="s">
        <v>2487</v>
      </c>
      <c r="C66" s="2" t="s">
        <v>2488</v>
      </c>
      <c r="D66" s="5" t="s">
        <v>2490</v>
      </c>
      <c r="E66" s="4" t="s">
        <v>2491</v>
      </c>
      <c r="F66" s="6">
        <v>14264488</v>
      </c>
      <c r="G66" s="3">
        <v>14264488</v>
      </c>
      <c r="H66" s="7">
        <v>194257016027</v>
      </c>
      <c r="I66" s="8" t="s">
        <v>636</v>
      </c>
      <c r="J66" s="4">
        <v>1</v>
      </c>
      <c r="K66" s="9">
        <v>7.99</v>
      </c>
      <c r="L66" s="9">
        <v>7.99</v>
      </c>
      <c r="M66" s="4" t="s">
        <v>637</v>
      </c>
      <c r="N66" s="4" t="s">
        <v>2501</v>
      </c>
      <c r="O66" s="4" t="s">
        <v>2498</v>
      </c>
      <c r="P66" s="4" t="s">
        <v>2499</v>
      </c>
      <c r="Q66" s="4" t="s">
        <v>2500</v>
      </c>
      <c r="R66" s="4"/>
      <c r="S66" s="4"/>
      <c r="T66" s="4" t="str">
        <f>HYPERLINK("http://slimages.macys.com/is/image/MCY/16679387 ")</f>
        <v xml:space="preserve">http://slimages.macys.com/is/image/MCY/16679387 </v>
      </c>
    </row>
    <row r="67" spans="1:20" ht="15" customHeight="1" x14ac:dyDescent="0.25">
      <c r="A67" s="4" t="s">
        <v>2489</v>
      </c>
      <c r="B67" s="2" t="s">
        <v>2487</v>
      </c>
      <c r="C67" s="2" t="s">
        <v>2488</v>
      </c>
      <c r="D67" s="5" t="s">
        <v>2490</v>
      </c>
      <c r="E67" s="4" t="s">
        <v>2491</v>
      </c>
      <c r="F67" s="6">
        <v>14264488</v>
      </c>
      <c r="G67" s="3">
        <v>14264488</v>
      </c>
      <c r="H67" s="7">
        <v>807421366483</v>
      </c>
      <c r="I67" s="8" t="s">
        <v>638</v>
      </c>
      <c r="J67" s="4">
        <v>1</v>
      </c>
      <c r="K67" s="9">
        <v>34.99</v>
      </c>
      <c r="L67" s="9">
        <v>34.99</v>
      </c>
      <c r="M67" s="4" t="s">
        <v>639</v>
      </c>
      <c r="N67" s="4" t="s">
        <v>2501</v>
      </c>
      <c r="O67" s="4" t="s">
        <v>2519</v>
      </c>
      <c r="P67" s="4" t="s">
        <v>2499</v>
      </c>
      <c r="Q67" s="4" t="s">
        <v>2752</v>
      </c>
      <c r="R67" s="4"/>
      <c r="S67" s="4"/>
      <c r="T67" s="4" t="str">
        <f>HYPERLINK("http://slimages.macys.com/is/image/MCY/19692398 ")</f>
        <v xml:space="preserve">http://slimages.macys.com/is/image/MCY/19692398 </v>
      </c>
    </row>
    <row r="68" spans="1:20" ht="15" customHeight="1" x14ac:dyDescent="0.25">
      <c r="A68" s="4" t="s">
        <v>2489</v>
      </c>
      <c r="B68" s="2" t="s">
        <v>2487</v>
      </c>
      <c r="C68" s="2" t="s">
        <v>2488</v>
      </c>
      <c r="D68" s="5" t="s">
        <v>2490</v>
      </c>
      <c r="E68" s="4" t="s">
        <v>2491</v>
      </c>
      <c r="F68" s="6">
        <v>14264488</v>
      </c>
      <c r="G68" s="3">
        <v>14264488</v>
      </c>
      <c r="H68" s="7">
        <v>732995193565</v>
      </c>
      <c r="I68" s="8" t="s">
        <v>640</v>
      </c>
      <c r="J68" s="4">
        <v>1</v>
      </c>
      <c r="K68" s="9">
        <v>7.99</v>
      </c>
      <c r="L68" s="9">
        <v>7.99</v>
      </c>
      <c r="M68" s="4" t="s">
        <v>641</v>
      </c>
      <c r="N68" s="4" t="s">
        <v>2614</v>
      </c>
      <c r="O68" s="4">
        <v>5</v>
      </c>
      <c r="P68" s="4" t="s">
        <v>2602</v>
      </c>
      <c r="Q68" s="4" t="s">
        <v>2528</v>
      </c>
      <c r="R68" s="4" t="s">
        <v>2552</v>
      </c>
      <c r="S68" s="4" t="s">
        <v>2721</v>
      </c>
      <c r="T68" s="4" t="str">
        <f>HYPERLINK("http://slimages.macys.com/is/image/MCY/11500733 ")</f>
        <v xml:space="preserve">http://slimages.macys.com/is/image/MCY/11500733 </v>
      </c>
    </row>
    <row r="69" spans="1:20" ht="15" customHeight="1" x14ac:dyDescent="0.25">
      <c r="A69" s="4" t="s">
        <v>2489</v>
      </c>
      <c r="B69" s="2" t="s">
        <v>2487</v>
      </c>
      <c r="C69" s="2" t="s">
        <v>2488</v>
      </c>
      <c r="D69" s="5" t="s">
        <v>2490</v>
      </c>
      <c r="E69" s="4" t="s">
        <v>2491</v>
      </c>
      <c r="F69" s="6">
        <v>14264488</v>
      </c>
      <c r="G69" s="3">
        <v>14264488</v>
      </c>
      <c r="H69" s="7">
        <v>732995635577</v>
      </c>
      <c r="I69" s="8" t="s">
        <v>642</v>
      </c>
      <c r="J69" s="4">
        <v>4</v>
      </c>
      <c r="K69" s="9">
        <v>5.99</v>
      </c>
      <c r="L69" s="9">
        <v>23.96</v>
      </c>
      <c r="M69" s="4" t="s">
        <v>618</v>
      </c>
      <c r="N69" s="4" t="s">
        <v>2505</v>
      </c>
      <c r="O69" s="4" t="s">
        <v>2493</v>
      </c>
      <c r="P69" s="4" t="s">
        <v>2503</v>
      </c>
      <c r="Q69" s="4" t="s">
        <v>2504</v>
      </c>
      <c r="R69" s="4" t="s">
        <v>2552</v>
      </c>
      <c r="S69" s="4" t="s">
        <v>2834</v>
      </c>
      <c r="T69" s="4" t="str">
        <f>HYPERLINK("http://slimages.macys.com/is/image/MCY/11855486 ")</f>
        <v xml:space="preserve">http://slimages.macys.com/is/image/MCY/11855486 </v>
      </c>
    </row>
    <row r="70" spans="1:20" ht="15" customHeight="1" x14ac:dyDescent="0.25">
      <c r="A70" s="4" t="s">
        <v>2489</v>
      </c>
      <c r="B70" s="2" t="s">
        <v>2487</v>
      </c>
      <c r="C70" s="2" t="s">
        <v>2488</v>
      </c>
      <c r="D70" s="5" t="s">
        <v>2490</v>
      </c>
      <c r="E70" s="4" t="s">
        <v>2491</v>
      </c>
      <c r="F70" s="6">
        <v>14264488</v>
      </c>
      <c r="G70" s="3">
        <v>14264488</v>
      </c>
      <c r="H70" s="7">
        <v>195187377059</v>
      </c>
      <c r="I70" s="8" t="s">
        <v>564</v>
      </c>
      <c r="J70" s="4">
        <v>5</v>
      </c>
      <c r="K70" s="9">
        <v>14.5</v>
      </c>
      <c r="L70" s="9">
        <v>72.5</v>
      </c>
      <c r="M70" s="4" t="s">
        <v>643</v>
      </c>
      <c r="N70" s="4" t="s">
        <v>2731</v>
      </c>
      <c r="O70" s="4" t="s">
        <v>2498</v>
      </c>
      <c r="P70" s="4" t="s">
        <v>2536</v>
      </c>
      <c r="Q70" s="4" t="s">
        <v>2981</v>
      </c>
      <c r="R70" s="4"/>
      <c r="S70" s="4"/>
      <c r="T70" s="4"/>
    </row>
    <row r="71" spans="1:20" ht="15" customHeight="1" x14ac:dyDescent="0.25">
      <c r="A71" s="4" t="s">
        <v>2489</v>
      </c>
      <c r="B71" s="2" t="s">
        <v>2487</v>
      </c>
      <c r="C71" s="2" t="s">
        <v>2488</v>
      </c>
      <c r="D71" s="5" t="s">
        <v>2490</v>
      </c>
      <c r="E71" s="4" t="s">
        <v>2491</v>
      </c>
      <c r="F71" s="6">
        <v>14264488</v>
      </c>
      <c r="G71" s="3">
        <v>14264488</v>
      </c>
      <c r="H71" s="7">
        <v>733003608996</v>
      </c>
      <c r="I71" s="8" t="s">
        <v>644</v>
      </c>
      <c r="J71" s="4">
        <v>1</v>
      </c>
      <c r="K71" s="9">
        <v>12.99</v>
      </c>
      <c r="L71" s="9">
        <v>12.99</v>
      </c>
      <c r="M71" s="4" t="s">
        <v>645</v>
      </c>
      <c r="N71" s="4" t="s">
        <v>2501</v>
      </c>
      <c r="O71" s="4">
        <v>7</v>
      </c>
      <c r="P71" s="4" t="s">
        <v>2520</v>
      </c>
      <c r="Q71" s="4" t="s">
        <v>2528</v>
      </c>
      <c r="R71" s="4"/>
      <c r="S71" s="4"/>
      <c r="T71" s="4" t="str">
        <f>HYPERLINK("http://slimages.macys.com/is/image/MCY/19568276 ")</f>
        <v xml:space="preserve">http://slimages.macys.com/is/image/MCY/19568276 </v>
      </c>
    </row>
    <row r="72" spans="1:20" ht="15" customHeight="1" x14ac:dyDescent="0.25">
      <c r="A72" s="4" t="s">
        <v>2489</v>
      </c>
      <c r="B72" s="2" t="s">
        <v>2487</v>
      </c>
      <c r="C72" s="2" t="s">
        <v>2488</v>
      </c>
      <c r="D72" s="5" t="s">
        <v>2490</v>
      </c>
      <c r="E72" s="4" t="s">
        <v>2491</v>
      </c>
      <c r="F72" s="6">
        <v>14264488</v>
      </c>
      <c r="G72" s="3">
        <v>14264488</v>
      </c>
      <c r="H72" s="7">
        <v>194133186868</v>
      </c>
      <c r="I72" s="8" t="s">
        <v>646</v>
      </c>
      <c r="J72" s="4">
        <v>1</v>
      </c>
      <c r="K72" s="9">
        <v>25.22</v>
      </c>
      <c r="L72" s="9">
        <v>25.22</v>
      </c>
      <c r="M72" s="4" t="s">
        <v>647</v>
      </c>
      <c r="N72" s="4"/>
      <c r="O72" s="4">
        <v>8</v>
      </c>
      <c r="P72" s="4" t="s">
        <v>2657</v>
      </c>
      <c r="Q72" s="4" t="s">
        <v>2716</v>
      </c>
      <c r="R72" s="4"/>
      <c r="S72" s="4"/>
      <c r="T72" s="4" t="str">
        <f>HYPERLINK("http://slimages.macys.com/is/image/MCY/18522835 ")</f>
        <v xml:space="preserve">http://slimages.macys.com/is/image/MCY/18522835 </v>
      </c>
    </row>
    <row r="73" spans="1:20" ht="15" customHeight="1" x14ac:dyDescent="0.25">
      <c r="A73" s="4" t="s">
        <v>2489</v>
      </c>
      <c r="B73" s="2" t="s">
        <v>2487</v>
      </c>
      <c r="C73" s="2" t="s">
        <v>2488</v>
      </c>
      <c r="D73" s="5" t="s">
        <v>2490</v>
      </c>
      <c r="E73" s="4" t="s">
        <v>2491</v>
      </c>
      <c r="F73" s="6">
        <v>14264488</v>
      </c>
      <c r="G73" s="3">
        <v>14264488</v>
      </c>
      <c r="H73" s="7">
        <v>733001055587</v>
      </c>
      <c r="I73" s="8" t="s">
        <v>648</v>
      </c>
      <c r="J73" s="4">
        <v>1</v>
      </c>
      <c r="K73" s="9">
        <v>12.99</v>
      </c>
      <c r="L73" s="9">
        <v>12.99</v>
      </c>
      <c r="M73" s="4" t="s">
        <v>649</v>
      </c>
      <c r="N73" s="4" t="s">
        <v>2523</v>
      </c>
      <c r="O73" s="4">
        <v>5</v>
      </c>
      <c r="P73" s="4" t="s">
        <v>2515</v>
      </c>
      <c r="Q73" s="4" t="s">
        <v>1516</v>
      </c>
      <c r="R73" s="4"/>
      <c r="S73" s="4"/>
      <c r="T73" s="4" t="str">
        <f>HYPERLINK("http://slimages.macys.com/is/image/MCY/18638788 ")</f>
        <v xml:space="preserve">http://slimages.macys.com/is/image/MCY/18638788 </v>
      </c>
    </row>
    <row r="74" spans="1:20" ht="15" customHeight="1" x14ac:dyDescent="0.25">
      <c r="A74" s="4" t="s">
        <v>2489</v>
      </c>
      <c r="B74" s="2" t="s">
        <v>2487</v>
      </c>
      <c r="C74" s="2" t="s">
        <v>2488</v>
      </c>
      <c r="D74" s="5" t="s">
        <v>2490</v>
      </c>
      <c r="E74" s="4" t="s">
        <v>2491</v>
      </c>
      <c r="F74" s="6">
        <v>14264488</v>
      </c>
      <c r="G74" s="3">
        <v>14264488</v>
      </c>
      <c r="H74" s="7">
        <v>7613419178296</v>
      </c>
      <c r="I74" s="8" t="s">
        <v>650</v>
      </c>
      <c r="J74" s="4">
        <v>1</v>
      </c>
      <c r="K74" s="9">
        <v>42</v>
      </c>
      <c r="L74" s="9">
        <v>42</v>
      </c>
      <c r="M74" s="4" t="s">
        <v>651</v>
      </c>
      <c r="N74" s="4" t="s">
        <v>2567</v>
      </c>
      <c r="O74" s="4">
        <v>14</v>
      </c>
      <c r="P74" s="4" t="s">
        <v>3407</v>
      </c>
      <c r="Q74" s="4" t="s">
        <v>3318</v>
      </c>
      <c r="R74" s="4" t="s">
        <v>2552</v>
      </c>
      <c r="S74" s="4" t="s">
        <v>3256</v>
      </c>
      <c r="T74" s="4" t="str">
        <f>HYPERLINK("http://slimages.macys.com/is/image/MCY/13585867 ")</f>
        <v xml:space="preserve">http://slimages.macys.com/is/image/MCY/13585867 </v>
      </c>
    </row>
    <row r="75" spans="1:20" ht="15" customHeight="1" x14ac:dyDescent="0.25">
      <c r="A75" s="4" t="s">
        <v>2489</v>
      </c>
      <c r="B75" s="2" t="s">
        <v>2487</v>
      </c>
      <c r="C75" s="2" t="s">
        <v>2488</v>
      </c>
      <c r="D75" s="5" t="s">
        <v>2490</v>
      </c>
      <c r="E75" s="4" t="s">
        <v>2491</v>
      </c>
      <c r="F75" s="6">
        <v>14264488</v>
      </c>
      <c r="G75" s="3">
        <v>14264488</v>
      </c>
      <c r="H75" s="7">
        <v>889799946672</v>
      </c>
      <c r="I75" s="8" t="s">
        <v>652</v>
      </c>
      <c r="J75" s="4">
        <v>1</v>
      </c>
      <c r="K75" s="9">
        <v>19.989999999999998</v>
      </c>
      <c r="L75" s="9">
        <v>19.989999999999998</v>
      </c>
      <c r="M75" s="4" t="s">
        <v>653</v>
      </c>
      <c r="N75" s="4" t="s">
        <v>2544</v>
      </c>
      <c r="O75" s="4"/>
      <c r="P75" s="4" t="s">
        <v>2569</v>
      </c>
      <c r="Q75" s="4" t="s">
        <v>2570</v>
      </c>
      <c r="R75" s="4"/>
      <c r="S75" s="4"/>
      <c r="T75" s="4" t="str">
        <f>HYPERLINK("http://slimages.macys.com/is/image/MCY/20084467 ")</f>
        <v xml:space="preserve">http://slimages.macys.com/is/image/MCY/20084467 </v>
      </c>
    </row>
    <row r="76" spans="1:20" ht="15" customHeight="1" x14ac:dyDescent="0.25">
      <c r="A76" s="4" t="s">
        <v>2489</v>
      </c>
      <c r="B76" s="2" t="s">
        <v>2487</v>
      </c>
      <c r="C76" s="2" t="s">
        <v>2488</v>
      </c>
      <c r="D76" s="5" t="s">
        <v>2490</v>
      </c>
      <c r="E76" s="4" t="s">
        <v>2491</v>
      </c>
      <c r="F76" s="6">
        <v>14264488</v>
      </c>
      <c r="G76" s="3">
        <v>14264488</v>
      </c>
      <c r="H76" s="7">
        <v>652874275277</v>
      </c>
      <c r="I76" s="8" t="s">
        <v>654</v>
      </c>
      <c r="J76" s="4">
        <v>1</v>
      </c>
      <c r="K76" s="9">
        <v>18.989999999999998</v>
      </c>
      <c r="L76" s="9">
        <v>18.989999999999998</v>
      </c>
      <c r="M76" s="4" t="s">
        <v>532</v>
      </c>
      <c r="N76" s="4"/>
      <c r="O76" s="4" t="s">
        <v>2498</v>
      </c>
      <c r="P76" s="4" t="s">
        <v>2536</v>
      </c>
      <c r="Q76" s="4" t="s">
        <v>2537</v>
      </c>
      <c r="R76" s="4"/>
      <c r="S76" s="4"/>
      <c r="T76" s="4" t="str">
        <f>HYPERLINK("http://slimages.macys.com/is/image/MCY/20389516 ")</f>
        <v xml:space="preserve">http://slimages.macys.com/is/image/MCY/20389516 </v>
      </c>
    </row>
    <row r="77" spans="1:20" ht="15" customHeight="1" x14ac:dyDescent="0.25">
      <c r="A77" s="4" t="s">
        <v>2489</v>
      </c>
      <c r="B77" s="2" t="s">
        <v>2487</v>
      </c>
      <c r="C77" s="2" t="s">
        <v>2488</v>
      </c>
      <c r="D77" s="5" t="s">
        <v>2490</v>
      </c>
      <c r="E77" s="4" t="s">
        <v>2491</v>
      </c>
      <c r="F77" s="6">
        <v>14264488</v>
      </c>
      <c r="G77" s="3">
        <v>14264488</v>
      </c>
      <c r="H77" s="7">
        <v>742728688640</v>
      </c>
      <c r="I77" s="8" t="s">
        <v>655</v>
      </c>
      <c r="J77" s="4">
        <v>1</v>
      </c>
      <c r="K77" s="9">
        <v>25.99</v>
      </c>
      <c r="L77" s="9">
        <v>25.99</v>
      </c>
      <c r="M77" s="4" t="s">
        <v>656</v>
      </c>
      <c r="N77" s="4" t="s">
        <v>2530</v>
      </c>
      <c r="O77" s="4">
        <v>6</v>
      </c>
      <c r="P77" s="4" t="s">
        <v>2722</v>
      </c>
      <c r="Q77" s="4" t="s">
        <v>2736</v>
      </c>
      <c r="R77" s="4"/>
      <c r="S77" s="4"/>
      <c r="T77" s="4"/>
    </row>
    <row r="78" spans="1:20" ht="15" customHeight="1" x14ac:dyDescent="0.25">
      <c r="A78" s="4" t="s">
        <v>2489</v>
      </c>
      <c r="B78" s="2" t="s">
        <v>2487</v>
      </c>
      <c r="C78" s="2" t="s">
        <v>2488</v>
      </c>
      <c r="D78" s="5" t="s">
        <v>2490</v>
      </c>
      <c r="E78" s="4" t="s">
        <v>2491</v>
      </c>
      <c r="F78" s="6">
        <v>14264488</v>
      </c>
      <c r="G78" s="3">
        <v>14264488</v>
      </c>
      <c r="H78" s="7">
        <v>826422126162</v>
      </c>
      <c r="I78" s="8" t="s">
        <v>657</v>
      </c>
      <c r="J78" s="4">
        <v>1</v>
      </c>
      <c r="K78" s="9">
        <v>26.99</v>
      </c>
      <c r="L78" s="9">
        <v>26.99</v>
      </c>
      <c r="M78" s="4">
        <v>7734105</v>
      </c>
      <c r="N78" s="4" t="s">
        <v>2531</v>
      </c>
      <c r="O78" s="4" t="s">
        <v>2555</v>
      </c>
      <c r="P78" s="4" t="s">
        <v>2536</v>
      </c>
      <c r="Q78" s="4" t="s">
        <v>3100</v>
      </c>
      <c r="R78" s="4"/>
      <c r="S78" s="4"/>
      <c r="T78" s="4" t="str">
        <f>HYPERLINK("http://slimages.macys.com/is/image/MCY/1282807 ")</f>
        <v xml:space="preserve">http://slimages.macys.com/is/image/MCY/1282807 </v>
      </c>
    </row>
    <row r="79" spans="1:20" ht="15" customHeight="1" x14ac:dyDescent="0.25">
      <c r="A79" s="4" t="s">
        <v>2489</v>
      </c>
      <c r="B79" s="2" t="s">
        <v>2487</v>
      </c>
      <c r="C79" s="2" t="s">
        <v>2488</v>
      </c>
      <c r="D79" s="5" t="s">
        <v>2490</v>
      </c>
      <c r="E79" s="4" t="s">
        <v>2491</v>
      </c>
      <c r="F79" s="6">
        <v>14264488</v>
      </c>
      <c r="G79" s="3">
        <v>14264488</v>
      </c>
      <c r="H79" s="7">
        <v>195958286764</v>
      </c>
      <c r="I79" s="8" t="s">
        <v>658</v>
      </c>
      <c r="J79" s="4">
        <v>1</v>
      </c>
      <c r="K79" s="9">
        <v>29.5</v>
      </c>
      <c r="L79" s="9">
        <v>29.5</v>
      </c>
      <c r="M79" s="4" t="s">
        <v>659</v>
      </c>
      <c r="N79" s="4" t="s">
        <v>2614</v>
      </c>
      <c r="O79" s="4" t="s">
        <v>2688</v>
      </c>
      <c r="P79" s="4" t="s">
        <v>3283</v>
      </c>
      <c r="Q79" s="4" t="s">
        <v>2656</v>
      </c>
      <c r="R79" s="4"/>
      <c r="S79" s="4"/>
      <c r="T79" s="4" t="str">
        <f>HYPERLINK("http://slimages.macys.com/is/image/MCY/19971605 ")</f>
        <v xml:space="preserve">http://slimages.macys.com/is/image/MCY/19971605 </v>
      </c>
    </row>
    <row r="80" spans="1:20" ht="15" customHeight="1" x14ac:dyDescent="0.25">
      <c r="A80" s="4" t="s">
        <v>2489</v>
      </c>
      <c r="B80" s="2" t="s">
        <v>2487</v>
      </c>
      <c r="C80" s="2" t="s">
        <v>2488</v>
      </c>
      <c r="D80" s="5" t="s">
        <v>2490</v>
      </c>
      <c r="E80" s="4" t="s">
        <v>2491</v>
      </c>
      <c r="F80" s="6">
        <v>14264488</v>
      </c>
      <c r="G80" s="3">
        <v>14264488</v>
      </c>
      <c r="H80" s="7">
        <v>195958216334</v>
      </c>
      <c r="I80" s="8" t="s">
        <v>660</v>
      </c>
      <c r="J80" s="4">
        <v>1</v>
      </c>
      <c r="K80" s="9">
        <v>44.5</v>
      </c>
      <c r="L80" s="9">
        <v>44.5</v>
      </c>
      <c r="M80" s="4" t="s">
        <v>661</v>
      </c>
      <c r="N80" s="4" t="s">
        <v>2729</v>
      </c>
      <c r="O80" s="4">
        <v>8</v>
      </c>
      <c r="P80" s="4" t="s">
        <v>3283</v>
      </c>
      <c r="Q80" s="4" t="s">
        <v>2656</v>
      </c>
      <c r="R80" s="4"/>
      <c r="S80" s="4"/>
      <c r="T80" s="4" t="str">
        <f>HYPERLINK("http://slimages.macys.com/is/image/MCY/20084641 ")</f>
        <v xml:space="preserve">http://slimages.macys.com/is/image/MCY/20084641 </v>
      </c>
    </row>
    <row r="81" spans="1:20" ht="15" customHeight="1" x14ac:dyDescent="0.25">
      <c r="A81" s="4" t="s">
        <v>2489</v>
      </c>
      <c r="B81" s="2" t="s">
        <v>2487</v>
      </c>
      <c r="C81" s="2" t="s">
        <v>2488</v>
      </c>
      <c r="D81" s="5" t="s">
        <v>2490</v>
      </c>
      <c r="E81" s="4" t="s">
        <v>2491</v>
      </c>
      <c r="F81" s="6">
        <v>14264488</v>
      </c>
      <c r="G81" s="3">
        <v>14264488</v>
      </c>
      <c r="H81" s="7">
        <v>195883817668</v>
      </c>
      <c r="I81" s="8" t="s">
        <v>1587</v>
      </c>
      <c r="J81" s="4">
        <v>3</v>
      </c>
      <c r="K81" s="9">
        <v>18.989999999999998</v>
      </c>
      <c r="L81" s="9">
        <v>56.97</v>
      </c>
      <c r="M81" s="4" t="s">
        <v>1588</v>
      </c>
      <c r="N81" s="4" t="s">
        <v>2514</v>
      </c>
      <c r="O81" s="4">
        <v>4</v>
      </c>
      <c r="P81" s="4" t="s">
        <v>2536</v>
      </c>
      <c r="Q81" s="4" t="s">
        <v>2944</v>
      </c>
      <c r="R81" s="4"/>
      <c r="S81" s="4"/>
      <c r="T81" s="4"/>
    </row>
    <row r="82" spans="1:20" ht="15" customHeight="1" x14ac:dyDescent="0.25">
      <c r="A82" s="4" t="s">
        <v>2489</v>
      </c>
      <c r="B82" s="2" t="s">
        <v>2487</v>
      </c>
      <c r="C82" s="2" t="s">
        <v>2488</v>
      </c>
      <c r="D82" s="5" t="s">
        <v>2490</v>
      </c>
      <c r="E82" s="4" t="s">
        <v>2491</v>
      </c>
      <c r="F82" s="6">
        <v>14264488</v>
      </c>
      <c r="G82" s="3">
        <v>14264488</v>
      </c>
      <c r="H82" s="7">
        <v>194753978225</v>
      </c>
      <c r="I82" s="8" t="s">
        <v>662</v>
      </c>
      <c r="J82" s="4">
        <v>2</v>
      </c>
      <c r="K82" s="9">
        <v>16.670000000000002</v>
      </c>
      <c r="L82" s="9">
        <v>33.340000000000003</v>
      </c>
      <c r="M82" s="4" t="s">
        <v>663</v>
      </c>
      <c r="N82" s="4" t="s">
        <v>2497</v>
      </c>
      <c r="O82" s="4">
        <v>8</v>
      </c>
      <c r="P82" s="4" t="s">
        <v>2556</v>
      </c>
      <c r="Q82" s="4" t="s">
        <v>2946</v>
      </c>
      <c r="R82" s="4"/>
      <c r="S82" s="4"/>
      <c r="T82" s="4" t="str">
        <f>HYPERLINK("http://slimages.macys.com/is/image/MCY/20255896 ")</f>
        <v xml:space="preserve">http://slimages.macys.com/is/image/MCY/20255896 </v>
      </c>
    </row>
    <row r="83" spans="1:20" ht="15" customHeight="1" x14ac:dyDescent="0.25">
      <c r="A83" s="4" t="s">
        <v>2489</v>
      </c>
      <c r="B83" s="2" t="s">
        <v>2487</v>
      </c>
      <c r="C83" s="2" t="s">
        <v>2488</v>
      </c>
      <c r="D83" s="5" t="s">
        <v>2490</v>
      </c>
      <c r="E83" s="4" t="s">
        <v>2491</v>
      </c>
      <c r="F83" s="6">
        <v>14264488</v>
      </c>
      <c r="G83" s="3">
        <v>14264488</v>
      </c>
      <c r="H83" s="7">
        <v>192042729145</v>
      </c>
      <c r="I83" s="8" t="s">
        <v>2832</v>
      </c>
      <c r="J83" s="4">
        <v>1</v>
      </c>
      <c r="K83" s="9">
        <v>11.3</v>
      </c>
      <c r="L83" s="9">
        <v>11.3</v>
      </c>
      <c r="M83" s="4" t="s">
        <v>2833</v>
      </c>
      <c r="N83" s="4" t="s">
        <v>2523</v>
      </c>
      <c r="O83" s="4">
        <v>8</v>
      </c>
      <c r="P83" s="4" t="s">
        <v>2622</v>
      </c>
      <c r="Q83" s="4" t="s">
        <v>2623</v>
      </c>
      <c r="R83" s="4"/>
      <c r="S83" s="4"/>
      <c r="T83" s="4"/>
    </row>
    <row r="84" spans="1:20" ht="15" customHeight="1" x14ac:dyDescent="0.25">
      <c r="A84" s="4" t="s">
        <v>2489</v>
      </c>
      <c r="B84" s="2" t="s">
        <v>2487</v>
      </c>
      <c r="C84" s="2" t="s">
        <v>2488</v>
      </c>
      <c r="D84" s="5" t="s">
        <v>2490</v>
      </c>
      <c r="E84" s="4" t="s">
        <v>2491</v>
      </c>
      <c r="F84" s="6">
        <v>14264488</v>
      </c>
      <c r="G84" s="3">
        <v>14264488</v>
      </c>
      <c r="H84" s="7">
        <v>192042782935</v>
      </c>
      <c r="I84" s="8" t="s">
        <v>664</v>
      </c>
      <c r="J84" s="4">
        <v>1</v>
      </c>
      <c r="K84" s="9">
        <v>19.989999999999998</v>
      </c>
      <c r="L84" s="9">
        <v>19.989999999999998</v>
      </c>
      <c r="M84" s="4" t="s">
        <v>665</v>
      </c>
      <c r="N84" s="4" t="s">
        <v>2523</v>
      </c>
      <c r="O84" s="4"/>
      <c r="P84" s="4" t="s">
        <v>2655</v>
      </c>
      <c r="Q84" s="4" t="s">
        <v>2623</v>
      </c>
      <c r="R84" s="4" t="s">
        <v>2552</v>
      </c>
      <c r="S84" s="4" t="s">
        <v>3256</v>
      </c>
      <c r="T84" s="4" t="str">
        <f>HYPERLINK("http://slimages.macys.com/is/image/MCY/13304142 ")</f>
        <v xml:space="preserve">http://slimages.macys.com/is/image/MCY/13304142 </v>
      </c>
    </row>
    <row r="85" spans="1:20" ht="15" customHeight="1" x14ac:dyDescent="0.25">
      <c r="A85" s="4" t="s">
        <v>2489</v>
      </c>
      <c r="B85" s="2" t="s">
        <v>2487</v>
      </c>
      <c r="C85" s="2" t="s">
        <v>2488</v>
      </c>
      <c r="D85" s="5" t="s">
        <v>2490</v>
      </c>
      <c r="E85" s="4" t="s">
        <v>2491</v>
      </c>
      <c r="F85" s="6">
        <v>14264488</v>
      </c>
      <c r="G85" s="3">
        <v>14264488</v>
      </c>
      <c r="H85" s="7">
        <v>756845987180</v>
      </c>
      <c r="I85" s="8" t="s">
        <v>666</v>
      </c>
      <c r="J85" s="4">
        <v>1</v>
      </c>
      <c r="K85" s="9">
        <v>8.99</v>
      </c>
      <c r="L85" s="9">
        <v>8.99</v>
      </c>
      <c r="M85" s="4" t="s">
        <v>667</v>
      </c>
      <c r="N85" s="4" t="s">
        <v>2501</v>
      </c>
      <c r="O85" s="4" t="s">
        <v>2831</v>
      </c>
      <c r="P85" s="4" t="s">
        <v>2503</v>
      </c>
      <c r="Q85" s="4" t="s">
        <v>668</v>
      </c>
      <c r="R85" s="4" t="s">
        <v>2552</v>
      </c>
      <c r="S85" s="4" t="s">
        <v>669</v>
      </c>
      <c r="T85" s="4" t="str">
        <f>HYPERLINK("http://slimages.macys.com/is/image/MCY/8484391 ")</f>
        <v xml:space="preserve">http://slimages.macys.com/is/image/MCY/8484391 </v>
      </c>
    </row>
    <row r="86" spans="1:20" ht="15" customHeight="1" x14ac:dyDescent="0.25">
      <c r="A86" s="4" t="s">
        <v>2489</v>
      </c>
      <c r="B86" s="2" t="s">
        <v>2487</v>
      </c>
      <c r="C86" s="2" t="s">
        <v>2488</v>
      </c>
      <c r="D86" s="5" t="s">
        <v>2490</v>
      </c>
      <c r="E86" s="4" t="s">
        <v>2491</v>
      </c>
      <c r="F86" s="6">
        <v>14264488</v>
      </c>
      <c r="G86" s="3">
        <v>14264488</v>
      </c>
      <c r="H86" s="7">
        <v>732996245690</v>
      </c>
      <c r="I86" s="8" t="s">
        <v>670</v>
      </c>
      <c r="J86" s="4">
        <v>1</v>
      </c>
      <c r="K86" s="9">
        <v>12</v>
      </c>
      <c r="L86" s="9">
        <v>12</v>
      </c>
      <c r="M86" s="4" t="s">
        <v>671</v>
      </c>
      <c r="N86" s="4" t="s">
        <v>2600</v>
      </c>
      <c r="O86" s="4" t="s">
        <v>2816</v>
      </c>
      <c r="P86" s="4" t="s">
        <v>2503</v>
      </c>
      <c r="Q86" s="4" t="s">
        <v>2504</v>
      </c>
      <c r="R86" s="4" t="s">
        <v>2552</v>
      </c>
      <c r="S86" s="4" t="s">
        <v>672</v>
      </c>
      <c r="T86" s="4" t="str">
        <f>HYPERLINK("http://slimages.macys.com/is/image/MCY/12466266 ")</f>
        <v xml:space="preserve">http://slimages.macys.com/is/image/MCY/12466266 </v>
      </c>
    </row>
    <row r="87" spans="1:20" ht="15" customHeight="1" x14ac:dyDescent="0.25">
      <c r="A87" s="4" t="s">
        <v>2489</v>
      </c>
      <c r="B87" s="2" t="s">
        <v>2487</v>
      </c>
      <c r="C87" s="2" t="s">
        <v>2488</v>
      </c>
      <c r="D87" s="5" t="s">
        <v>2490</v>
      </c>
      <c r="E87" s="4" t="s">
        <v>2491</v>
      </c>
      <c r="F87" s="6">
        <v>14264488</v>
      </c>
      <c r="G87" s="3">
        <v>14264488</v>
      </c>
      <c r="H87" s="7">
        <v>194973798474</v>
      </c>
      <c r="I87" s="8" t="s">
        <v>673</v>
      </c>
      <c r="J87" s="4">
        <v>1</v>
      </c>
      <c r="K87" s="9">
        <v>7.8</v>
      </c>
      <c r="L87" s="9">
        <v>7.8</v>
      </c>
      <c r="M87" s="4" t="s">
        <v>674</v>
      </c>
      <c r="N87" s="4" t="s">
        <v>2535</v>
      </c>
      <c r="O87" s="4">
        <v>7</v>
      </c>
      <c r="P87" s="4" t="s">
        <v>2506</v>
      </c>
      <c r="Q87" s="4" t="s">
        <v>2527</v>
      </c>
      <c r="R87" s="4"/>
      <c r="S87" s="4"/>
      <c r="T87" s="4" t="str">
        <f>HYPERLINK("http://slimages.macys.com/is/image/MCY/18839142 ")</f>
        <v xml:space="preserve">http://slimages.macys.com/is/image/MCY/18839142 </v>
      </c>
    </row>
    <row r="88" spans="1:20" ht="15" customHeight="1" x14ac:dyDescent="0.25">
      <c r="A88" s="4" t="s">
        <v>2489</v>
      </c>
      <c r="B88" s="2" t="s">
        <v>2487</v>
      </c>
      <c r="C88" s="2" t="s">
        <v>2488</v>
      </c>
      <c r="D88" s="5" t="s">
        <v>2490</v>
      </c>
      <c r="E88" s="4" t="s">
        <v>2491</v>
      </c>
      <c r="F88" s="6">
        <v>14264488</v>
      </c>
      <c r="G88" s="3">
        <v>14264488</v>
      </c>
      <c r="H88" s="7">
        <v>826409766237</v>
      </c>
      <c r="I88" s="8" t="s">
        <v>675</v>
      </c>
      <c r="J88" s="4">
        <v>1</v>
      </c>
      <c r="K88" s="9">
        <v>16.989999999999998</v>
      </c>
      <c r="L88" s="9">
        <v>16.989999999999998</v>
      </c>
      <c r="M88" s="4" t="s">
        <v>676</v>
      </c>
      <c r="N88" s="4" t="s">
        <v>2805</v>
      </c>
      <c r="O88" s="4" t="s">
        <v>2498</v>
      </c>
      <c r="P88" s="4" t="s">
        <v>2536</v>
      </c>
      <c r="Q88" s="4" t="s">
        <v>3100</v>
      </c>
      <c r="R88" s="4"/>
      <c r="S88" s="4"/>
      <c r="T88" s="4" t="str">
        <f>HYPERLINK("http://slimages.macys.com/is/image/MCY/19636593 ")</f>
        <v xml:space="preserve">http://slimages.macys.com/is/image/MCY/19636593 </v>
      </c>
    </row>
    <row r="89" spans="1:20" ht="15" customHeight="1" x14ac:dyDescent="0.25">
      <c r="A89" s="4" t="s">
        <v>2489</v>
      </c>
      <c r="B89" s="2" t="s">
        <v>2487</v>
      </c>
      <c r="C89" s="2" t="s">
        <v>2488</v>
      </c>
      <c r="D89" s="5" t="s">
        <v>2490</v>
      </c>
      <c r="E89" s="4" t="s">
        <v>2491</v>
      </c>
      <c r="F89" s="6">
        <v>14264488</v>
      </c>
      <c r="G89" s="3">
        <v>14264488</v>
      </c>
      <c r="H89" s="7">
        <v>192042329765</v>
      </c>
      <c r="I89" s="8" t="s">
        <v>677</v>
      </c>
      <c r="J89" s="4">
        <v>1</v>
      </c>
      <c r="K89" s="9">
        <v>14.99</v>
      </c>
      <c r="L89" s="9">
        <v>14.99</v>
      </c>
      <c r="M89" s="4" t="s">
        <v>678</v>
      </c>
      <c r="N89" s="4" t="s">
        <v>2523</v>
      </c>
      <c r="O89" s="4">
        <v>16</v>
      </c>
      <c r="P89" s="4" t="s">
        <v>2655</v>
      </c>
      <c r="Q89" s="4" t="s">
        <v>2643</v>
      </c>
      <c r="R89" s="4" t="s">
        <v>2552</v>
      </c>
      <c r="S89" s="4" t="s">
        <v>2721</v>
      </c>
      <c r="T89" s="4" t="str">
        <f>HYPERLINK("http://slimages.macys.com/is/image/MCY/13984181 ")</f>
        <v xml:space="preserve">http://slimages.macys.com/is/image/MCY/13984181 </v>
      </c>
    </row>
    <row r="90" spans="1:20" ht="15" customHeight="1" x14ac:dyDescent="0.25">
      <c r="A90" s="4" t="s">
        <v>2489</v>
      </c>
      <c r="B90" s="2" t="s">
        <v>2487</v>
      </c>
      <c r="C90" s="2" t="s">
        <v>2488</v>
      </c>
      <c r="D90" s="5" t="s">
        <v>2490</v>
      </c>
      <c r="E90" s="4" t="s">
        <v>2491</v>
      </c>
      <c r="F90" s="6">
        <v>14264488</v>
      </c>
      <c r="G90" s="3">
        <v>14264488</v>
      </c>
      <c r="H90" s="7">
        <v>733002930234</v>
      </c>
      <c r="I90" s="8" t="s">
        <v>679</v>
      </c>
      <c r="J90" s="4">
        <v>1</v>
      </c>
      <c r="K90" s="9">
        <v>6.99</v>
      </c>
      <c r="L90" s="9">
        <v>6.99</v>
      </c>
      <c r="M90" s="4" t="s">
        <v>2892</v>
      </c>
      <c r="N90" s="4" t="s">
        <v>2632</v>
      </c>
      <c r="O90" s="4" t="s">
        <v>2498</v>
      </c>
      <c r="P90" s="4" t="s">
        <v>2543</v>
      </c>
      <c r="Q90" s="4" t="s">
        <v>2528</v>
      </c>
      <c r="R90" s="4"/>
      <c r="S90" s="4"/>
      <c r="T90" s="4" t="str">
        <f>HYPERLINK("http://slimages.macys.com/is/image/MCY/17688402 ")</f>
        <v xml:space="preserve">http://slimages.macys.com/is/image/MCY/17688402 </v>
      </c>
    </row>
    <row r="91" spans="1:20" ht="15" customHeight="1" x14ac:dyDescent="0.25">
      <c r="A91" s="4" t="s">
        <v>2489</v>
      </c>
      <c r="B91" s="2" t="s">
        <v>2487</v>
      </c>
      <c r="C91" s="2" t="s">
        <v>2488</v>
      </c>
      <c r="D91" s="5" t="s">
        <v>2490</v>
      </c>
      <c r="E91" s="4" t="s">
        <v>2491</v>
      </c>
      <c r="F91" s="6">
        <v>14264488</v>
      </c>
      <c r="G91" s="3">
        <v>14264488</v>
      </c>
      <c r="H91" s="7">
        <v>733003170998</v>
      </c>
      <c r="I91" s="8" t="s">
        <v>680</v>
      </c>
      <c r="J91" s="4">
        <v>1</v>
      </c>
      <c r="K91" s="9">
        <v>12.99</v>
      </c>
      <c r="L91" s="9">
        <v>12.99</v>
      </c>
      <c r="M91" s="4" t="s">
        <v>624</v>
      </c>
      <c r="N91" s="4" t="s">
        <v>2530</v>
      </c>
      <c r="O91" s="4" t="s">
        <v>2653</v>
      </c>
      <c r="P91" s="4" t="s">
        <v>2515</v>
      </c>
      <c r="Q91" s="4" t="s">
        <v>2672</v>
      </c>
      <c r="R91" s="4"/>
      <c r="S91" s="4"/>
      <c r="T91" s="4" t="str">
        <f>HYPERLINK("http://slimages.macys.com/is/image/MCY/18926740 ")</f>
        <v xml:space="preserve">http://slimages.macys.com/is/image/MCY/18926740 </v>
      </c>
    </row>
    <row r="92" spans="1:20" ht="15" customHeight="1" x14ac:dyDescent="0.25">
      <c r="A92" s="4" t="s">
        <v>2489</v>
      </c>
      <c r="B92" s="2" t="s">
        <v>2487</v>
      </c>
      <c r="C92" s="2" t="s">
        <v>2488</v>
      </c>
      <c r="D92" s="5" t="s">
        <v>2490</v>
      </c>
      <c r="E92" s="4" t="s">
        <v>2491</v>
      </c>
      <c r="F92" s="6">
        <v>14264488</v>
      </c>
      <c r="G92" s="3">
        <v>14264488</v>
      </c>
      <c r="H92" s="7">
        <v>194257272119</v>
      </c>
      <c r="I92" s="8" t="s">
        <v>681</v>
      </c>
      <c r="J92" s="4">
        <v>2</v>
      </c>
      <c r="K92" s="9">
        <v>8.99</v>
      </c>
      <c r="L92" s="9">
        <v>17.98</v>
      </c>
      <c r="M92" s="4" t="s">
        <v>682</v>
      </c>
      <c r="N92" s="4" t="s">
        <v>2523</v>
      </c>
      <c r="O92" s="4">
        <v>5</v>
      </c>
      <c r="P92" s="4" t="s">
        <v>2619</v>
      </c>
      <c r="Q92" s="4" t="s">
        <v>2654</v>
      </c>
      <c r="R92" s="4"/>
      <c r="S92" s="4"/>
      <c r="T92" s="4" t="str">
        <f>HYPERLINK("http://slimages.macys.com/is/image/MCY/18825572 ")</f>
        <v xml:space="preserve">http://slimages.macys.com/is/image/MCY/18825572 </v>
      </c>
    </row>
    <row r="93" spans="1:20" ht="15" customHeight="1" x14ac:dyDescent="0.25">
      <c r="A93" s="4" t="s">
        <v>2489</v>
      </c>
      <c r="B93" s="2" t="s">
        <v>2487</v>
      </c>
      <c r="C93" s="2" t="s">
        <v>2488</v>
      </c>
      <c r="D93" s="5" t="s">
        <v>2490</v>
      </c>
      <c r="E93" s="4" t="s">
        <v>2491</v>
      </c>
      <c r="F93" s="6">
        <v>14264488</v>
      </c>
      <c r="G93" s="3">
        <v>14264488</v>
      </c>
      <c r="H93" s="7">
        <v>195883817651</v>
      </c>
      <c r="I93" s="8" t="s">
        <v>1587</v>
      </c>
      <c r="J93" s="4">
        <v>3</v>
      </c>
      <c r="K93" s="9">
        <v>18.989999999999998</v>
      </c>
      <c r="L93" s="9">
        <v>56.97</v>
      </c>
      <c r="M93" s="4" t="s">
        <v>1588</v>
      </c>
      <c r="N93" s="4" t="s">
        <v>2514</v>
      </c>
      <c r="O93" s="4" t="s">
        <v>2524</v>
      </c>
      <c r="P93" s="4" t="s">
        <v>2536</v>
      </c>
      <c r="Q93" s="4" t="s">
        <v>2944</v>
      </c>
      <c r="R93" s="4"/>
      <c r="S93" s="4"/>
      <c r="T93" s="4"/>
    </row>
    <row r="94" spans="1:20" ht="15" customHeight="1" x14ac:dyDescent="0.25">
      <c r="A94" s="4" t="s">
        <v>2489</v>
      </c>
      <c r="B94" s="2" t="s">
        <v>2487</v>
      </c>
      <c r="C94" s="2" t="s">
        <v>2488</v>
      </c>
      <c r="D94" s="5" t="s">
        <v>2490</v>
      </c>
      <c r="E94" s="4" t="s">
        <v>2491</v>
      </c>
      <c r="F94" s="6">
        <v>14264488</v>
      </c>
      <c r="G94" s="3">
        <v>14264488</v>
      </c>
      <c r="H94" s="7">
        <v>826409766213</v>
      </c>
      <c r="I94" s="8" t="s">
        <v>683</v>
      </c>
      <c r="J94" s="4">
        <v>1</v>
      </c>
      <c r="K94" s="9">
        <v>16.989999999999998</v>
      </c>
      <c r="L94" s="9">
        <v>16.989999999999998</v>
      </c>
      <c r="M94" s="4" t="s">
        <v>676</v>
      </c>
      <c r="N94" s="4" t="s">
        <v>2805</v>
      </c>
      <c r="O94" s="4" t="s">
        <v>2519</v>
      </c>
      <c r="P94" s="4" t="s">
        <v>2536</v>
      </c>
      <c r="Q94" s="4" t="s">
        <v>3100</v>
      </c>
      <c r="R94" s="4"/>
      <c r="S94" s="4"/>
      <c r="T94" s="4" t="str">
        <f>HYPERLINK("http://slimages.macys.com/is/image/MCY/19636593 ")</f>
        <v xml:space="preserve">http://slimages.macys.com/is/image/MCY/19636593 </v>
      </c>
    </row>
    <row r="95" spans="1:20" ht="15" customHeight="1" x14ac:dyDescent="0.25">
      <c r="A95" s="4" t="s">
        <v>2489</v>
      </c>
      <c r="B95" s="2" t="s">
        <v>2487</v>
      </c>
      <c r="C95" s="2" t="s">
        <v>2488</v>
      </c>
      <c r="D95" s="5" t="s">
        <v>2490</v>
      </c>
      <c r="E95" s="4" t="s">
        <v>2491</v>
      </c>
      <c r="F95" s="6">
        <v>14264488</v>
      </c>
      <c r="G95" s="3">
        <v>14264488</v>
      </c>
      <c r="H95" s="7">
        <v>194133180026</v>
      </c>
      <c r="I95" s="8" t="s">
        <v>684</v>
      </c>
      <c r="J95" s="4">
        <v>1</v>
      </c>
      <c r="K95" s="9">
        <v>11.82</v>
      </c>
      <c r="L95" s="9">
        <v>11.82</v>
      </c>
      <c r="M95" s="4" t="s">
        <v>685</v>
      </c>
      <c r="N95" s="4"/>
      <c r="O95" s="4" t="s">
        <v>2597</v>
      </c>
      <c r="P95" s="4" t="s">
        <v>2494</v>
      </c>
      <c r="Q95" s="4" t="s">
        <v>2495</v>
      </c>
      <c r="R95" s="4"/>
      <c r="S95" s="4"/>
      <c r="T95" s="4" t="str">
        <f>HYPERLINK("http://slimages.macys.com/is/image/MCY/19146003 ")</f>
        <v xml:space="preserve">http://slimages.macys.com/is/image/MCY/19146003 </v>
      </c>
    </row>
    <row r="96" spans="1:20" ht="15" customHeight="1" x14ac:dyDescent="0.25">
      <c r="A96" s="4" t="s">
        <v>2489</v>
      </c>
      <c r="B96" s="2" t="s">
        <v>2487</v>
      </c>
      <c r="C96" s="2" t="s">
        <v>2488</v>
      </c>
      <c r="D96" s="5" t="s">
        <v>2490</v>
      </c>
      <c r="E96" s="4" t="s">
        <v>2491</v>
      </c>
      <c r="F96" s="6">
        <v>14264488</v>
      </c>
      <c r="G96" s="3">
        <v>14264488</v>
      </c>
      <c r="H96" s="7">
        <v>733003171209</v>
      </c>
      <c r="I96" s="8" t="s">
        <v>1528</v>
      </c>
      <c r="J96" s="4">
        <v>1</v>
      </c>
      <c r="K96" s="9">
        <v>14.99</v>
      </c>
      <c r="L96" s="9">
        <v>14.99</v>
      </c>
      <c r="M96" s="4" t="s">
        <v>1529</v>
      </c>
      <c r="N96" s="4" t="s">
        <v>2530</v>
      </c>
      <c r="O96" s="4" t="s">
        <v>2498</v>
      </c>
      <c r="P96" s="4" t="s">
        <v>2515</v>
      </c>
      <c r="Q96" s="4" t="s">
        <v>2672</v>
      </c>
      <c r="R96" s="4"/>
      <c r="S96" s="4"/>
      <c r="T96" s="4" t="str">
        <f>HYPERLINK("http://slimages.macys.com/is/image/MCY/18926624 ")</f>
        <v xml:space="preserve">http://slimages.macys.com/is/image/MCY/18926624 </v>
      </c>
    </row>
    <row r="97" spans="1:20" ht="15" customHeight="1" x14ac:dyDescent="0.25">
      <c r="A97" s="4" t="s">
        <v>2489</v>
      </c>
      <c r="B97" s="2" t="s">
        <v>2487</v>
      </c>
      <c r="C97" s="2" t="s">
        <v>2488</v>
      </c>
      <c r="D97" s="5" t="s">
        <v>2490</v>
      </c>
      <c r="E97" s="4" t="s">
        <v>2491</v>
      </c>
      <c r="F97" s="6">
        <v>14264488</v>
      </c>
      <c r="G97" s="3">
        <v>14264488</v>
      </c>
      <c r="H97" s="7">
        <v>46094705032</v>
      </c>
      <c r="I97" s="8" t="s">
        <v>686</v>
      </c>
      <c r="J97" s="4">
        <v>1</v>
      </c>
      <c r="K97" s="9">
        <v>12.99</v>
      </c>
      <c r="L97" s="9">
        <v>12.99</v>
      </c>
      <c r="M97" s="4" t="s">
        <v>3324</v>
      </c>
      <c r="N97" s="4" t="s">
        <v>2501</v>
      </c>
      <c r="O97" s="4"/>
      <c r="P97" s="4" t="s">
        <v>2666</v>
      </c>
      <c r="Q97" s="4" t="s">
        <v>2677</v>
      </c>
      <c r="R97" s="4" t="s">
        <v>2552</v>
      </c>
      <c r="S97" s="4" t="s">
        <v>2791</v>
      </c>
      <c r="T97" s="4" t="str">
        <f>HYPERLINK("http://slimages.macys.com/is/image/MCY/9336742 ")</f>
        <v xml:space="preserve">http://slimages.macys.com/is/image/MCY/9336742 </v>
      </c>
    </row>
    <row r="98" spans="1:20" ht="15" customHeight="1" x14ac:dyDescent="0.25">
      <c r="A98" s="4" t="s">
        <v>2489</v>
      </c>
      <c r="B98" s="2" t="s">
        <v>2487</v>
      </c>
      <c r="C98" s="2" t="s">
        <v>2488</v>
      </c>
      <c r="D98" s="5" t="s">
        <v>2490</v>
      </c>
      <c r="E98" s="4" t="s">
        <v>2491</v>
      </c>
      <c r="F98" s="6">
        <v>14264488</v>
      </c>
      <c r="G98" s="3">
        <v>14264488</v>
      </c>
      <c r="H98" s="7">
        <v>732996245683</v>
      </c>
      <c r="I98" s="8" t="s">
        <v>687</v>
      </c>
      <c r="J98" s="4">
        <v>1</v>
      </c>
      <c r="K98" s="9">
        <v>12</v>
      </c>
      <c r="L98" s="9">
        <v>12</v>
      </c>
      <c r="M98" s="4" t="s">
        <v>671</v>
      </c>
      <c r="N98" s="4" t="s">
        <v>2600</v>
      </c>
      <c r="O98" s="4" t="s">
        <v>2912</v>
      </c>
      <c r="P98" s="4" t="s">
        <v>2503</v>
      </c>
      <c r="Q98" s="4" t="s">
        <v>2504</v>
      </c>
      <c r="R98" s="4" t="s">
        <v>2552</v>
      </c>
      <c r="S98" s="4" t="s">
        <v>672</v>
      </c>
      <c r="T98" s="4" t="str">
        <f>HYPERLINK("http://slimages.macys.com/is/image/MCY/12466266 ")</f>
        <v xml:space="preserve">http://slimages.macys.com/is/image/MCY/12466266 </v>
      </c>
    </row>
    <row r="99" spans="1:20" ht="15" customHeight="1" x14ac:dyDescent="0.25">
      <c r="A99" s="4" t="s">
        <v>2489</v>
      </c>
      <c r="B99" s="2" t="s">
        <v>2487</v>
      </c>
      <c r="C99" s="2" t="s">
        <v>2488</v>
      </c>
      <c r="D99" s="5" t="s">
        <v>2490</v>
      </c>
      <c r="E99" s="4" t="s">
        <v>2491</v>
      </c>
      <c r="F99" s="6">
        <v>14264488</v>
      </c>
      <c r="G99" s="3">
        <v>14264488</v>
      </c>
      <c r="H99" s="7">
        <v>732995635584</v>
      </c>
      <c r="I99" s="8" t="s">
        <v>688</v>
      </c>
      <c r="J99" s="4">
        <v>4</v>
      </c>
      <c r="K99" s="9">
        <v>5.99</v>
      </c>
      <c r="L99" s="9">
        <v>23.96</v>
      </c>
      <c r="M99" s="4" t="s">
        <v>618</v>
      </c>
      <c r="N99" s="4" t="s">
        <v>2505</v>
      </c>
      <c r="O99" s="4" t="s">
        <v>2502</v>
      </c>
      <c r="P99" s="4" t="s">
        <v>2503</v>
      </c>
      <c r="Q99" s="4" t="s">
        <v>2504</v>
      </c>
      <c r="R99" s="4" t="s">
        <v>2552</v>
      </c>
      <c r="S99" s="4" t="s">
        <v>2834</v>
      </c>
      <c r="T99" s="4" t="str">
        <f>HYPERLINK("http://slimages.macys.com/is/image/MCY/11855486 ")</f>
        <v xml:space="preserve">http://slimages.macys.com/is/image/MCY/11855486 </v>
      </c>
    </row>
    <row r="100" spans="1:20" ht="15" customHeight="1" x14ac:dyDescent="0.25">
      <c r="A100" s="4" t="s">
        <v>2489</v>
      </c>
      <c r="B100" s="2" t="s">
        <v>2487</v>
      </c>
      <c r="C100" s="2" t="s">
        <v>2488</v>
      </c>
      <c r="D100" s="5" t="s">
        <v>2490</v>
      </c>
      <c r="E100" s="4" t="s">
        <v>2491</v>
      </c>
      <c r="F100" s="6">
        <v>14264488</v>
      </c>
      <c r="G100" s="3">
        <v>14264488</v>
      </c>
      <c r="H100" s="7">
        <v>194257332066</v>
      </c>
      <c r="I100" s="8" t="s">
        <v>689</v>
      </c>
      <c r="J100" s="4">
        <v>6</v>
      </c>
      <c r="K100" s="9">
        <v>8.99</v>
      </c>
      <c r="L100" s="9">
        <v>53.94</v>
      </c>
      <c r="M100" s="4" t="s">
        <v>690</v>
      </c>
      <c r="N100" s="4" t="s">
        <v>2644</v>
      </c>
      <c r="O100" s="4">
        <v>7</v>
      </c>
      <c r="P100" s="4" t="s">
        <v>2499</v>
      </c>
      <c r="Q100" s="4" t="s">
        <v>2525</v>
      </c>
      <c r="R100" s="4"/>
      <c r="S100" s="4"/>
      <c r="T100" s="4" t="str">
        <f>HYPERLINK("http://slimages.macys.com/is/image/MCY/18894646 ")</f>
        <v xml:space="preserve">http://slimages.macys.com/is/image/MCY/18894646 </v>
      </c>
    </row>
    <row r="101" spans="1:20" ht="15" customHeight="1" x14ac:dyDescent="0.25">
      <c r="A101" s="4" t="s">
        <v>2489</v>
      </c>
      <c r="B101" s="2" t="s">
        <v>2487</v>
      </c>
      <c r="C101" s="2" t="s">
        <v>2488</v>
      </c>
      <c r="D101" s="5" t="s">
        <v>2490</v>
      </c>
      <c r="E101" s="4" t="s">
        <v>2491</v>
      </c>
      <c r="F101" s="6">
        <v>14264488</v>
      </c>
      <c r="G101" s="3">
        <v>14264488</v>
      </c>
      <c r="H101" s="7">
        <v>889799921037</v>
      </c>
      <c r="I101" s="8" t="s">
        <v>691</v>
      </c>
      <c r="J101" s="4">
        <v>1</v>
      </c>
      <c r="K101" s="9">
        <v>25.99</v>
      </c>
      <c r="L101" s="9">
        <v>25.99</v>
      </c>
      <c r="M101" s="4" t="s">
        <v>692</v>
      </c>
      <c r="N101" s="4" t="s">
        <v>2544</v>
      </c>
      <c r="O101" s="4">
        <v>6</v>
      </c>
      <c r="P101" s="4" t="s">
        <v>2569</v>
      </c>
      <c r="Q101" s="4" t="s">
        <v>2570</v>
      </c>
      <c r="R101" s="4"/>
      <c r="S101" s="4"/>
      <c r="T101" s="4" t="str">
        <f>HYPERLINK("http://slimages.macys.com/is/image/MCY/19203249 ")</f>
        <v xml:space="preserve">http://slimages.macys.com/is/image/MCY/19203249 </v>
      </c>
    </row>
    <row r="102" spans="1:20" ht="15" customHeight="1" x14ac:dyDescent="0.25">
      <c r="A102" s="4" t="s">
        <v>2489</v>
      </c>
      <c r="B102" s="2" t="s">
        <v>2487</v>
      </c>
      <c r="C102" s="2" t="s">
        <v>2488</v>
      </c>
      <c r="D102" s="5" t="s">
        <v>2490</v>
      </c>
      <c r="E102" s="4" t="s">
        <v>2491</v>
      </c>
      <c r="F102" s="6">
        <v>14264488</v>
      </c>
      <c r="G102" s="3">
        <v>14264488</v>
      </c>
      <c r="H102" s="7">
        <v>826410116021</v>
      </c>
      <c r="I102" s="8" t="s">
        <v>693</v>
      </c>
      <c r="J102" s="4">
        <v>1</v>
      </c>
      <c r="K102" s="9">
        <v>16.989999999999998</v>
      </c>
      <c r="L102" s="9">
        <v>16.989999999999998</v>
      </c>
      <c r="M102" s="4" t="s">
        <v>694</v>
      </c>
      <c r="N102" s="4" t="s">
        <v>2514</v>
      </c>
      <c r="O102" s="4" t="s">
        <v>2519</v>
      </c>
      <c r="P102" s="4" t="s">
        <v>2536</v>
      </c>
      <c r="Q102" s="4" t="s">
        <v>3100</v>
      </c>
      <c r="R102" s="4"/>
      <c r="S102" s="4"/>
      <c r="T102" s="4" t="str">
        <f>HYPERLINK("http://slimages.macys.com/is/image/MCY/19636596 ")</f>
        <v xml:space="preserve">http://slimages.macys.com/is/image/MCY/19636596 </v>
      </c>
    </row>
    <row r="103" spans="1:20" ht="15" customHeight="1" x14ac:dyDescent="0.25">
      <c r="A103" s="4" t="s">
        <v>2489</v>
      </c>
      <c r="B103" s="2" t="s">
        <v>2487</v>
      </c>
      <c r="C103" s="2" t="s">
        <v>2488</v>
      </c>
      <c r="D103" s="5" t="s">
        <v>2490</v>
      </c>
      <c r="E103" s="4" t="s">
        <v>2491</v>
      </c>
      <c r="F103" s="6">
        <v>14264488</v>
      </c>
      <c r="G103" s="3">
        <v>14264488</v>
      </c>
      <c r="H103" s="7">
        <v>195883342917</v>
      </c>
      <c r="I103" s="8" t="s">
        <v>695</v>
      </c>
      <c r="J103" s="4">
        <v>1</v>
      </c>
      <c r="K103" s="9">
        <v>35.99</v>
      </c>
      <c r="L103" s="9">
        <v>35.99</v>
      </c>
      <c r="M103" s="4" t="s">
        <v>696</v>
      </c>
      <c r="N103" s="4" t="s">
        <v>2766</v>
      </c>
      <c r="O103" s="4">
        <v>4</v>
      </c>
      <c r="P103" s="4" t="s">
        <v>2506</v>
      </c>
      <c r="Q103" s="4" t="s">
        <v>2527</v>
      </c>
      <c r="R103" s="4"/>
      <c r="S103" s="4"/>
      <c r="T103" s="4" t="str">
        <f>HYPERLINK("http://slimages.macys.com/is/image/MCY/20192024 ")</f>
        <v xml:space="preserve">http://slimages.macys.com/is/image/MCY/20192024 </v>
      </c>
    </row>
    <row r="104" spans="1:20" ht="15" customHeight="1" x14ac:dyDescent="0.25">
      <c r="A104" s="4" t="s">
        <v>2489</v>
      </c>
      <c r="B104" s="2" t="s">
        <v>2487</v>
      </c>
      <c r="C104" s="2" t="s">
        <v>2488</v>
      </c>
      <c r="D104" s="5" t="s">
        <v>2490</v>
      </c>
      <c r="E104" s="4" t="s">
        <v>2491</v>
      </c>
      <c r="F104" s="6">
        <v>14264488</v>
      </c>
      <c r="G104" s="3">
        <v>14264488</v>
      </c>
      <c r="H104" s="7">
        <v>732999980000</v>
      </c>
      <c r="I104" s="8" t="s">
        <v>697</v>
      </c>
      <c r="J104" s="4">
        <v>1</v>
      </c>
      <c r="K104" s="9">
        <v>8.99</v>
      </c>
      <c r="L104" s="9">
        <v>8.99</v>
      </c>
      <c r="M104" s="4" t="s">
        <v>698</v>
      </c>
      <c r="N104" s="4" t="s">
        <v>2523</v>
      </c>
      <c r="O104" s="4" t="s">
        <v>2653</v>
      </c>
      <c r="P104" s="4" t="s">
        <v>2602</v>
      </c>
      <c r="Q104" s="4" t="s">
        <v>2528</v>
      </c>
      <c r="R104" s="4"/>
      <c r="S104" s="4"/>
      <c r="T104" s="4" t="str">
        <f>HYPERLINK("http://slimages.macys.com/is/image/MCY/18024446 ")</f>
        <v xml:space="preserve">http://slimages.macys.com/is/image/MCY/18024446 </v>
      </c>
    </row>
    <row r="105" spans="1:20" ht="15" customHeight="1" x14ac:dyDescent="0.25">
      <c r="A105" s="4" t="s">
        <v>2489</v>
      </c>
      <c r="B105" s="2" t="s">
        <v>2487</v>
      </c>
      <c r="C105" s="2" t="s">
        <v>2488</v>
      </c>
      <c r="D105" s="5" t="s">
        <v>2490</v>
      </c>
      <c r="E105" s="4" t="s">
        <v>2491</v>
      </c>
      <c r="F105" s="6">
        <v>14264488</v>
      </c>
      <c r="G105" s="3">
        <v>14264488</v>
      </c>
      <c r="H105" s="7">
        <v>194931206522</v>
      </c>
      <c r="I105" s="8" t="s">
        <v>2104</v>
      </c>
      <c r="J105" s="4">
        <v>1</v>
      </c>
      <c r="K105" s="9">
        <v>28.42</v>
      </c>
      <c r="L105" s="9">
        <v>28.42</v>
      </c>
      <c r="M105" s="4" t="s">
        <v>2105</v>
      </c>
      <c r="N105" s="4"/>
      <c r="O105" s="4"/>
      <c r="P105" s="4" t="s">
        <v>2655</v>
      </c>
      <c r="Q105" s="4" t="s">
        <v>2643</v>
      </c>
      <c r="R105" s="4"/>
      <c r="S105" s="4"/>
      <c r="T105" s="4" t="str">
        <f>HYPERLINK("http://slimages.macys.com/is/image/MCY/19882885 ")</f>
        <v xml:space="preserve">http://slimages.macys.com/is/image/MCY/19882885 </v>
      </c>
    </row>
    <row r="106" spans="1:20" ht="15" customHeight="1" x14ac:dyDescent="0.25">
      <c r="A106" s="4" t="s">
        <v>2489</v>
      </c>
      <c r="B106" s="2" t="s">
        <v>2487</v>
      </c>
      <c r="C106" s="2" t="s">
        <v>2488</v>
      </c>
      <c r="D106" s="5" t="s">
        <v>2490</v>
      </c>
      <c r="E106" s="4" t="s">
        <v>2491</v>
      </c>
      <c r="F106" s="6">
        <v>14264488</v>
      </c>
      <c r="G106" s="3">
        <v>14264488</v>
      </c>
      <c r="H106" s="7">
        <v>195958110182</v>
      </c>
      <c r="I106" s="8" t="s">
        <v>699</v>
      </c>
      <c r="J106" s="4">
        <v>1</v>
      </c>
      <c r="K106" s="9">
        <v>34.5</v>
      </c>
      <c r="L106" s="9">
        <v>34.5</v>
      </c>
      <c r="M106" s="4" t="s">
        <v>700</v>
      </c>
      <c r="N106" s="4" t="s">
        <v>2497</v>
      </c>
      <c r="O106" s="4">
        <v>4</v>
      </c>
      <c r="P106" s="4" t="s">
        <v>2714</v>
      </c>
      <c r="Q106" s="4" t="s">
        <v>2715</v>
      </c>
      <c r="R106" s="4"/>
      <c r="S106" s="4"/>
      <c r="T106" s="4" t="str">
        <f>HYPERLINK("http://slimages.macys.com/is/image/MCY/20038563 ")</f>
        <v xml:space="preserve">http://slimages.macys.com/is/image/MCY/20038563 </v>
      </c>
    </row>
    <row r="107" spans="1:20" ht="15" customHeight="1" x14ac:dyDescent="0.25">
      <c r="A107" s="4" t="s">
        <v>2489</v>
      </c>
      <c r="B107" s="2" t="s">
        <v>2487</v>
      </c>
      <c r="C107" s="2" t="s">
        <v>2488</v>
      </c>
      <c r="D107" s="5" t="s">
        <v>2490</v>
      </c>
      <c r="E107" s="4" t="s">
        <v>2491</v>
      </c>
      <c r="F107" s="6">
        <v>14264488</v>
      </c>
      <c r="G107" s="3">
        <v>14264488</v>
      </c>
      <c r="H107" s="7">
        <v>195883342771</v>
      </c>
      <c r="I107" s="8" t="s">
        <v>701</v>
      </c>
      <c r="J107" s="4">
        <v>2</v>
      </c>
      <c r="K107" s="9">
        <v>35.99</v>
      </c>
      <c r="L107" s="9">
        <v>71.98</v>
      </c>
      <c r="M107" s="4" t="s">
        <v>2119</v>
      </c>
      <c r="N107" s="4" t="s">
        <v>2567</v>
      </c>
      <c r="O107" s="4">
        <v>4</v>
      </c>
      <c r="P107" s="4" t="s">
        <v>2506</v>
      </c>
      <c r="Q107" s="4" t="s">
        <v>2527</v>
      </c>
      <c r="R107" s="4"/>
      <c r="S107" s="4"/>
      <c r="T107" s="4" t="str">
        <f>HYPERLINK("http://slimages.macys.com/is/image/MCY/20191991 ")</f>
        <v xml:space="preserve">http://slimages.macys.com/is/image/MCY/20191991 </v>
      </c>
    </row>
    <row r="108" spans="1:20" ht="15" customHeight="1" x14ac:dyDescent="0.25">
      <c r="A108" s="4" t="s">
        <v>2489</v>
      </c>
      <c r="B108" s="2" t="s">
        <v>2487</v>
      </c>
      <c r="C108" s="2" t="s">
        <v>2488</v>
      </c>
      <c r="D108" s="5" t="s">
        <v>2490</v>
      </c>
      <c r="E108" s="4" t="s">
        <v>2491</v>
      </c>
      <c r="F108" s="6">
        <v>14264488</v>
      </c>
      <c r="G108" s="3">
        <v>14264488</v>
      </c>
      <c r="H108" s="7">
        <v>195958216303</v>
      </c>
      <c r="I108" s="8" t="s">
        <v>702</v>
      </c>
      <c r="J108" s="4">
        <v>1</v>
      </c>
      <c r="K108" s="9">
        <v>44.5</v>
      </c>
      <c r="L108" s="9">
        <v>44.5</v>
      </c>
      <c r="M108" s="4" t="s">
        <v>661</v>
      </c>
      <c r="N108" s="4" t="s">
        <v>2729</v>
      </c>
      <c r="O108" s="4">
        <v>14</v>
      </c>
      <c r="P108" s="4" t="s">
        <v>3283</v>
      </c>
      <c r="Q108" s="4" t="s">
        <v>2656</v>
      </c>
      <c r="R108" s="4"/>
      <c r="S108" s="4"/>
      <c r="T108" s="4" t="str">
        <f>HYPERLINK("http://slimages.macys.com/is/image/MCY/20084641 ")</f>
        <v xml:space="preserve">http://slimages.macys.com/is/image/MCY/20084641 </v>
      </c>
    </row>
    <row r="109" spans="1:20" ht="15" customHeight="1" x14ac:dyDescent="0.25">
      <c r="A109" s="4" t="s">
        <v>2489</v>
      </c>
      <c r="B109" s="2" t="s">
        <v>2487</v>
      </c>
      <c r="C109" s="2" t="s">
        <v>2488</v>
      </c>
      <c r="D109" s="5" t="s">
        <v>2490</v>
      </c>
      <c r="E109" s="4" t="s">
        <v>2491</v>
      </c>
      <c r="F109" s="6">
        <v>14264488</v>
      </c>
      <c r="G109" s="3">
        <v>14264488</v>
      </c>
      <c r="H109" s="7">
        <v>195883275376</v>
      </c>
      <c r="I109" s="8" t="s">
        <v>703</v>
      </c>
      <c r="J109" s="4">
        <v>1</v>
      </c>
      <c r="K109" s="9">
        <v>25.99</v>
      </c>
      <c r="L109" s="9">
        <v>25.99</v>
      </c>
      <c r="M109" s="4" t="s">
        <v>704</v>
      </c>
      <c r="N109" s="4" t="s">
        <v>2514</v>
      </c>
      <c r="O109" s="4" t="s">
        <v>2519</v>
      </c>
      <c r="P109" s="4" t="s">
        <v>2536</v>
      </c>
      <c r="Q109" s="4" t="s">
        <v>3199</v>
      </c>
      <c r="R109" s="4"/>
      <c r="S109" s="4"/>
      <c r="T109" s="4" t="str">
        <f>HYPERLINK("http://slimages.macys.com/is/image/MCY/19873077 ")</f>
        <v xml:space="preserve">http://slimages.macys.com/is/image/MCY/19873077 </v>
      </c>
    </row>
    <row r="110" spans="1:20" ht="15" customHeight="1" x14ac:dyDescent="0.25">
      <c r="A110" s="4" t="s">
        <v>2489</v>
      </c>
      <c r="B110" s="2" t="s">
        <v>2487</v>
      </c>
      <c r="C110" s="2" t="s">
        <v>2488</v>
      </c>
      <c r="D110" s="5" t="s">
        <v>2490</v>
      </c>
      <c r="E110" s="4" t="s">
        <v>2491</v>
      </c>
      <c r="F110" s="6">
        <v>14264488</v>
      </c>
      <c r="G110" s="3">
        <v>14264488</v>
      </c>
      <c r="H110" s="7">
        <v>652874256221</v>
      </c>
      <c r="I110" s="8" t="s">
        <v>705</v>
      </c>
      <c r="J110" s="4">
        <v>1</v>
      </c>
      <c r="K110" s="9">
        <v>18.989999999999998</v>
      </c>
      <c r="L110" s="9">
        <v>18.989999999999998</v>
      </c>
      <c r="M110" s="4" t="s">
        <v>706</v>
      </c>
      <c r="N110" s="4" t="s">
        <v>2614</v>
      </c>
      <c r="O110" s="4" t="s">
        <v>2555</v>
      </c>
      <c r="P110" s="4" t="s">
        <v>2536</v>
      </c>
      <c r="Q110" s="4" t="s">
        <v>2537</v>
      </c>
      <c r="R110" s="4"/>
      <c r="S110" s="4"/>
      <c r="T110" s="4" t="str">
        <f>HYPERLINK("http://slimages.macys.com/is/image/MCY/19912604 ")</f>
        <v xml:space="preserve">http://slimages.macys.com/is/image/MCY/19912604 </v>
      </c>
    </row>
    <row r="111" spans="1:20" ht="15" customHeight="1" x14ac:dyDescent="0.25">
      <c r="A111" s="4" t="s">
        <v>2489</v>
      </c>
      <c r="B111" s="2" t="s">
        <v>2487</v>
      </c>
      <c r="C111" s="2" t="s">
        <v>2488</v>
      </c>
      <c r="D111" s="5" t="s">
        <v>2490</v>
      </c>
      <c r="E111" s="4" t="s">
        <v>2491</v>
      </c>
      <c r="F111" s="6">
        <v>14264488</v>
      </c>
      <c r="G111" s="3">
        <v>14264488</v>
      </c>
      <c r="H111" s="7">
        <v>733003171193</v>
      </c>
      <c r="I111" s="8" t="s">
        <v>1536</v>
      </c>
      <c r="J111" s="4">
        <v>2</v>
      </c>
      <c r="K111" s="9">
        <v>14.99</v>
      </c>
      <c r="L111" s="9">
        <v>29.98</v>
      </c>
      <c r="M111" s="4" t="s">
        <v>1529</v>
      </c>
      <c r="N111" s="4" t="s">
        <v>2530</v>
      </c>
      <c r="O111" s="4" t="s">
        <v>2555</v>
      </c>
      <c r="P111" s="4" t="s">
        <v>2515</v>
      </c>
      <c r="Q111" s="4" t="s">
        <v>2672</v>
      </c>
      <c r="R111" s="4"/>
      <c r="S111" s="4"/>
      <c r="T111" s="4" t="str">
        <f>HYPERLINK("http://slimages.macys.com/is/image/MCY/18926624 ")</f>
        <v xml:space="preserve">http://slimages.macys.com/is/image/MCY/18926624 </v>
      </c>
    </row>
    <row r="112" spans="1:20" ht="15" customHeight="1" x14ac:dyDescent="0.25">
      <c r="A112" s="4" t="s">
        <v>2489</v>
      </c>
      <c r="B112" s="2" t="s">
        <v>2487</v>
      </c>
      <c r="C112" s="2" t="s">
        <v>2488</v>
      </c>
      <c r="D112" s="5" t="s">
        <v>2490</v>
      </c>
      <c r="E112" s="4" t="s">
        <v>2491</v>
      </c>
      <c r="F112" s="6">
        <v>14264488</v>
      </c>
      <c r="G112" s="3">
        <v>14264488</v>
      </c>
      <c r="H112" s="7">
        <v>194753356153</v>
      </c>
      <c r="I112" s="8" t="s">
        <v>707</v>
      </c>
      <c r="J112" s="4">
        <v>1</v>
      </c>
      <c r="K112" s="9">
        <v>44.5</v>
      </c>
      <c r="L112" s="9">
        <v>44.5</v>
      </c>
      <c r="M112" s="4" t="s">
        <v>708</v>
      </c>
      <c r="N112" s="4" t="s">
        <v>2614</v>
      </c>
      <c r="O112" s="4"/>
      <c r="P112" s="4" t="s">
        <v>2985</v>
      </c>
      <c r="Q112" s="4" t="s">
        <v>2715</v>
      </c>
      <c r="R112" s="4"/>
      <c r="S112" s="4"/>
      <c r="T112" s="4" t="str">
        <f>HYPERLINK("http://slimages.macys.com/is/image/MCY/17927272 ")</f>
        <v xml:space="preserve">http://slimages.macys.com/is/image/MCY/17927272 </v>
      </c>
    </row>
    <row r="113" spans="1:20" ht="15" customHeight="1" x14ac:dyDescent="0.25">
      <c r="A113" s="4" t="s">
        <v>2489</v>
      </c>
      <c r="B113" s="2" t="s">
        <v>2487</v>
      </c>
      <c r="C113" s="2" t="s">
        <v>2488</v>
      </c>
      <c r="D113" s="5" t="s">
        <v>2490</v>
      </c>
      <c r="E113" s="4" t="s">
        <v>2491</v>
      </c>
      <c r="F113" s="6">
        <v>14264488</v>
      </c>
      <c r="G113" s="3">
        <v>14264488</v>
      </c>
      <c r="H113" s="7">
        <v>80538104401</v>
      </c>
      <c r="I113" s="8" t="s">
        <v>709</v>
      </c>
      <c r="J113" s="4">
        <v>1</v>
      </c>
      <c r="K113" s="9">
        <v>10.99</v>
      </c>
      <c r="L113" s="9">
        <v>10.99</v>
      </c>
      <c r="M113" s="4">
        <v>64784</v>
      </c>
      <c r="N113" s="4" t="s">
        <v>2514</v>
      </c>
      <c r="O113" s="10">
        <v>45085</v>
      </c>
      <c r="P113" s="4" t="s">
        <v>2666</v>
      </c>
      <c r="Q113" s="4" t="s">
        <v>2778</v>
      </c>
      <c r="R113" s="4" t="s">
        <v>2552</v>
      </c>
      <c r="S113" s="4" t="s">
        <v>710</v>
      </c>
      <c r="T113" s="4" t="str">
        <f>HYPERLINK("http://slimages.macys.com/is/image/MCY/11869829 ")</f>
        <v xml:space="preserve">http://slimages.macys.com/is/image/MCY/11869829 </v>
      </c>
    </row>
    <row r="114" spans="1:20" ht="15" customHeight="1" x14ac:dyDescent="0.25">
      <c r="A114" s="4" t="s">
        <v>2489</v>
      </c>
      <c r="B114" s="2" t="s">
        <v>2487</v>
      </c>
      <c r="C114" s="2" t="s">
        <v>2488</v>
      </c>
      <c r="D114" s="5" t="s">
        <v>2490</v>
      </c>
      <c r="E114" s="4" t="s">
        <v>2491</v>
      </c>
      <c r="F114" s="6">
        <v>14264488</v>
      </c>
      <c r="G114" s="3">
        <v>14264488</v>
      </c>
      <c r="H114" s="7">
        <v>732994854894</v>
      </c>
      <c r="I114" s="8" t="s">
        <v>711</v>
      </c>
      <c r="J114" s="4">
        <v>1</v>
      </c>
      <c r="K114" s="9">
        <v>5.99</v>
      </c>
      <c r="L114" s="9">
        <v>5.99</v>
      </c>
      <c r="M114" s="4" t="s">
        <v>586</v>
      </c>
      <c r="N114" s="4" t="s">
        <v>2497</v>
      </c>
      <c r="O114" s="4" t="s">
        <v>2601</v>
      </c>
      <c r="P114" s="4" t="s">
        <v>2503</v>
      </c>
      <c r="Q114" s="4" t="s">
        <v>2504</v>
      </c>
      <c r="R114" s="4" t="s">
        <v>2552</v>
      </c>
      <c r="S114" s="4" t="s">
        <v>2617</v>
      </c>
      <c r="T114" s="4" t="str">
        <f>HYPERLINK("http://slimages.macys.com/is/image/MCY/11436881 ")</f>
        <v xml:space="preserve">http://slimages.macys.com/is/image/MCY/11436881 </v>
      </c>
    </row>
    <row r="115" spans="1:20" ht="15" customHeight="1" x14ac:dyDescent="0.25">
      <c r="A115" s="4" t="s">
        <v>2489</v>
      </c>
      <c r="B115" s="2" t="s">
        <v>2487</v>
      </c>
      <c r="C115" s="2" t="s">
        <v>2488</v>
      </c>
      <c r="D115" s="5" t="s">
        <v>2490</v>
      </c>
      <c r="E115" s="4" t="s">
        <v>2491</v>
      </c>
      <c r="F115" s="6">
        <v>14264488</v>
      </c>
      <c r="G115" s="3">
        <v>14264488</v>
      </c>
      <c r="H115" s="7">
        <v>194133192548</v>
      </c>
      <c r="I115" s="8" t="s">
        <v>712</v>
      </c>
      <c r="J115" s="4">
        <v>1</v>
      </c>
      <c r="K115" s="9">
        <v>20.6</v>
      </c>
      <c r="L115" s="9">
        <v>20.6</v>
      </c>
      <c r="M115" s="4" t="s">
        <v>713</v>
      </c>
      <c r="N115" s="4"/>
      <c r="O115" s="4" t="s">
        <v>2705</v>
      </c>
      <c r="P115" s="4" t="s">
        <v>2657</v>
      </c>
      <c r="Q115" s="4" t="s">
        <v>2716</v>
      </c>
      <c r="R115" s="4"/>
      <c r="S115" s="4"/>
      <c r="T115" s="4" t="str">
        <f>HYPERLINK("http://slimages.macys.com/is/image/MCY/17269452 ")</f>
        <v xml:space="preserve">http://slimages.macys.com/is/image/MCY/17269452 </v>
      </c>
    </row>
    <row r="116" spans="1:20" ht="15" customHeight="1" x14ac:dyDescent="0.25">
      <c r="A116" s="4" t="s">
        <v>2489</v>
      </c>
      <c r="B116" s="2" t="s">
        <v>2487</v>
      </c>
      <c r="C116" s="2" t="s">
        <v>2488</v>
      </c>
      <c r="D116" s="5" t="s">
        <v>2490</v>
      </c>
      <c r="E116" s="4" t="s">
        <v>2491</v>
      </c>
      <c r="F116" s="6">
        <v>14264488</v>
      </c>
      <c r="G116" s="3">
        <v>14264488</v>
      </c>
      <c r="H116" s="7">
        <v>195883817873</v>
      </c>
      <c r="I116" s="8" t="s">
        <v>714</v>
      </c>
      <c r="J116" s="4">
        <v>2</v>
      </c>
      <c r="K116" s="9">
        <v>18.989999999999998</v>
      </c>
      <c r="L116" s="9">
        <v>37.979999999999997</v>
      </c>
      <c r="M116" s="4" t="s">
        <v>715</v>
      </c>
      <c r="N116" s="4" t="s">
        <v>2728</v>
      </c>
      <c r="O116" s="4" t="s">
        <v>2653</v>
      </c>
      <c r="P116" s="4" t="s">
        <v>2536</v>
      </c>
      <c r="Q116" s="4" t="s">
        <v>2944</v>
      </c>
      <c r="R116" s="4"/>
      <c r="S116" s="4"/>
      <c r="T116" s="4"/>
    </row>
    <row r="117" spans="1:20" ht="15" customHeight="1" x14ac:dyDescent="0.25">
      <c r="A117" s="4" t="s">
        <v>2489</v>
      </c>
      <c r="B117" s="2" t="s">
        <v>2487</v>
      </c>
      <c r="C117" s="2" t="s">
        <v>2488</v>
      </c>
      <c r="D117" s="5" t="s">
        <v>2490</v>
      </c>
      <c r="E117" s="4" t="s">
        <v>2491</v>
      </c>
      <c r="F117" s="6">
        <v>14264488</v>
      </c>
      <c r="G117" s="3">
        <v>14264488</v>
      </c>
      <c r="H117" s="7">
        <v>195187358300</v>
      </c>
      <c r="I117" s="8" t="s">
        <v>564</v>
      </c>
      <c r="J117" s="4">
        <v>5</v>
      </c>
      <c r="K117" s="9">
        <v>17</v>
      </c>
      <c r="L117" s="9">
        <v>85</v>
      </c>
      <c r="M117" s="4" t="s">
        <v>716</v>
      </c>
      <c r="N117" s="4" t="s">
        <v>2501</v>
      </c>
      <c r="O117" s="4" t="s">
        <v>2519</v>
      </c>
      <c r="P117" s="4" t="s">
        <v>2536</v>
      </c>
      <c r="Q117" s="4" t="s">
        <v>2981</v>
      </c>
      <c r="R117" s="4"/>
      <c r="S117" s="4"/>
      <c r="T117" s="4"/>
    </row>
    <row r="118" spans="1:20" ht="15" customHeight="1" x14ac:dyDescent="0.25">
      <c r="A118" s="4" t="s">
        <v>2489</v>
      </c>
      <c r="B118" s="2" t="s">
        <v>2487</v>
      </c>
      <c r="C118" s="2" t="s">
        <v>2488</v>
      </c>
      <c r="D118" s="5" t="s">
        <v>2490</v>
      </c>
      <c r="E118" s="4" t="s">
        <v>2491</v>
      </c>
      <c r="F118" s="6">
        <v>14264488</v>
      </c>
      <c r="G118" s="3">
        <v>14264488</v>
      </c>
      <c r="H118" s="7">
        <v>195883508757</v>
      </c>
      <c r="I118" s="8" t="s">
        <v>717</v>
      </c>
      <c r="J118" s="4">
        <v>1</v>
      </c>
      <c r="K118" s="9">
        <v>16</v>
      </c>
      <c r="L118" s="9">
        <v>16</v>
      </c>
      <c r="M118" s="4" t="s">
        <v>718</v>
      </c>
      <c r="N118" s="4" t="s">
        <v>2526</v>
      </c>
      <c r="O118" s="4">
        <v>5</v>
      </c>
      <c r="P118" s="4" t="s">
        <v>2506</v>
      </c>
      <c r="Q118" s="4" t="s">
        <v>2527</v>
      </c>
      <c r="R118" s="4"/>
      <c r="S118" s="4"/>
      <c r="T118" s="4"/>
    </row>
    <row r="119" spans="1:20" ht="15" customHeight="1" x14ac:dyDescent="0.25">
      <c r="A119" s="4" t="s">
        <v>2489</v>
      </c>
      <c r="B119" s="2" t="s">
        <v>2487</v>
      </c>
      <c r="C119" s="2" t="s">
        <v>2488</v>
      </c>
      <c r="D119" s="5" t="s">
        <v>2490</v>
      </c>
      <c r="E119" s="4" t="s">
        <v>2491</v>
      </c>
      <c r="F119" s="6">
        <v>14264488</v>
      </c>
      <c r="G119" s="3">
        <v>14264488</v>
      </c>
      <c r="H119" s="7">
        <v>733004047039</v>
      </c>
      <c r="I119" s="8" t="s">
        <v>719</v>
      </c>
      <c r="J119" s="4">
        <v>1</v>
      </c>
      <c r="K119" s="9">
        <v>12.99</v>
      </c>
      <c r="L119" s="9">
        <v>12.99</v>
      </c>
      <c r="M119" s="4" t="s">
        <v>3351</v>
      </c>
      <c r="N119" s="4" t="s">
        <v>2497</v>
      </c>
      <c r="O119" s="4" t="s">
        <v>2629</v>
      </c>
      <c r="P119" s="4" t="s">
        <v>2520</v>
      </c>
      <c r="Q119" s="4" t="s">
        <v>2528</v>
      </c>
      <c r="R119" s="4"/>
      <c r="S119" s="4"/>
      <c r="T119" s="4" t="str">
        <f>HYPERLINK("http://slimages.macys.com/is/image/MCY/19965859 ")</f>
        <v xml:space="preserve">http://slimages.macys.com/is/image/MCY/19965859 </v>
      </c>
    </row>
    <row r="120" spans="1:20" ht="15" customHeight="1" x14ac:dyDescent="0.25">
      <c r="A120" s="4" t="s">
        <v>2489</v>
      </c>
      <c r="B120" s="2" t="s">
        <v>2487</v>
      </c>
      <c r="C120" s="2" t="s">
        <v>2488</v>
      </c>
      <c r="D120" s="5" t="s">
        <v>2490</v>
      </c>
      <c r="E120" s="4" t="s">
        <v>2491</v>
      </c>
      <c r="F120" s="6">
        <v>14264488</v>
      </c>
      <c r="G120" s="3">
        <v>14264488</v>
      </c>
      <c r="H120" s="7">
        <v>742728653617</v>
      </c>
      <c r="I120" s="8" t="s">
        <v>720</v>
      </c>
      <c r="J120" s="4">
        <v>1</v>
      </c>
      <c r="K120" s="9">
        <v>10.23</v>
      </c>
      <c r="L120" s="9">
        <v>10.23</v>
      </c>
      <c r="M120" s="4" t="s">
        <v>721</v>
      </c>
      <c r="N120" s="4" t="s">
        <v>2531</v>
      </c>
      <c r="O120" s="4">
        <v>7</v>
      </c>
      <c r="P120" s="4" t="s">
        <v>2506</v>
      </c>
      <c r="Q120" s="4" t="s">
        <v>2507</v>
      </c>
      <c r="R120" s="4"/>
      <c r="S120" s="4"/>
      <c r="T120" s="4" t="str">
        <f>HYPERLINK("http://slimages.macys.com/is/image/MCY/19772046 ")</f>
        <v xml:space="preserve">http://slimages.macys.com/is/image/MCY/19772046 </v>
      </c>
    </row>
    <row r="121" spans="1:20" ht="15" customHeight="1" x14ac:dyDescent="0.25">
      <c r="A121" s="4" t="s">
        <v>2489</v>
      </c>
      <c r="B121" s="2" t="s">
        <v>2487</v>
      </c>
      <c r="C121" s="2" t="s">
        <v>2488</v>
      </c>
      <c r="D121" s="5" t="s">
        <v>2490</v>
      </c>
      <c r="E121" s="4" t="s">
        <v>2491</v>
      </c>
      <c r="F121" s="6">
        <v>14264488</v>
      </c>
      <c r="G121" s="3">
        <v>14264488</v>
      </c>
      <c r="H121" s="7">
        <v>194135092372</v>
      </c>
      <c r="I121" s="8" t="s">
        <v>722</v>
      </c>
      <c r="J121" s="4">
        <v>1</v>
      </c>
      <c r="K121" s="9">
        <v>19.52</v>
      </c>
      <c r="L121" s="9">
        <v>19.52</v>
      </c>
      <c r="M121" s="4" t="s">
        <v>723</v>
      </c>
      <c r="N121" s="4"/>
      <c r="O121" s="4">
        <v>6</v>
      </c>
      <c r="P121" s="4" t="s">
        <v>2657</v>
      </c>
      <c r="Q121" s="4" t="s">
        <v>2716</v>
      </c>
      <c r="R121" s="4"/>
      <c r="S121" s="4"/>
      <c r="T121" s="4" t="str">
        <f>HYPERLINK("http://slimages.macys.com/is/image/MCY/18846884 ")</f>
        <v xml:space="preserve">http://slimages.macys.com/is/image/MCY/18846884 </v>
      </c>
    </row>
    <row r="122" spans="1:20" ht="15" customHeight="1" x14ac:dyDescent="0.25">
      <c r="A122" s="4" t="s">
        <v>2489</v>
      </c>
      <c r="B122" s="2" t="s">
        <v>2487</v>
      </c>
      <c r="C122" s="2" t="s">
        <v>2488</v>
      </c>
      <c r="D122" s="5" t="s">
        <v>2490</v>
      </c>
      <c r="E122" s="4" t="s">
        <v>2491</v>
      </c>
      <c r="F122" s="6">
        <v>14264488</v>
      </c>
      <c r="G122" s="3">
        <v>14264488</v>
      </c>
      <c r="H122" s="7">
        <v>192042340388</v>
      </c>
      <c r="I122" s="8" t="s">
        <v>724</v>
      </c>
      <c r="J122" s="4">
        <v>1</v>
      </c>
      <c r="K122" s="9">
        <v>14.99</v>
      </c>
      <c r="L122" s="9">
        <v>14.99</v>
      </c>
      <c r="M122" s="4" t="s">
        <v>567</v>
      </c>
      <c r="N122" s="4" t="s">
        <v>2523</v>
      </c>
      <c r="O122" s="4">
        <v>7</v>
      </c>
      <c r="P122" s="4" t="s">
        <v>2655</v>
      </c>
      <c r="Q122" s="4" t="s">
        <v>2643</v>
      </c>
      <c r="R122" s="4" t="s">
        <v>2552</v>
      </c>
      <c r="S122" s="4" t="s">
        <v>568</v>
      </c>
      <c r="T122" s="4" t="str">
        <f>HYPERLINK("http://slimages.macys.com/is/image/MCY/13984185 ")</f>
        <v xml:space="preserve">http://slimages.macys.com/is/image/MCY/13984185 </v>
      </c>
    </row>
    <row r="123" spans="1:20" ht="15" customHeight="1" x14ac:dyDescent="0.25">
      <c r="A123" s="4" t="s">
        <v>2489</v>
      </c>
      <c r="B123" s="2" t="s">
        <v>2487</v>
      </c>
      <c r="C123" s="2" t="s">
        <v>2488</v>
      </c>
      <c r="D123" s="5" t="s">
        <v>2490</v>
      </c>
      <c r="E123" s="4" t="s">
        <v>2491</v>
      </c>
      <c r="F123" s="6">
        <v>14264488</v>
      </c>
      <c r="G123" s="3">
        <v>14264488</v>
      </c>
      <c r="H123" s="7">
        <v>194257326393</v>
      </c>
      <c r="I123" s="8" t="s">
        <v>725</v>
      </c>
      <c r="J123" s="4">
        <v>1</v>
      </c>
      <c r="K123" s="9">
        <v>10.99</v>
      </c>
      <c r="L123" s="9">
        <v>10.99</v>
      </c>
      <c r="M123" s="4" t="s">
        <v>726</v>
      </c>
      <c r="N123" s="4" t="s">
        <v>2505</v>
      </c>
      <c r="O123" s="4" t="s">
        <v>2498</v>
      </c>
      <c r="P123" s="4" t="s">
        <v>2499</v>
      </c>
      <c r="Q123" s="4" t="s">
        <v>2500</v>
      </c>
      <c r="R123" s="4"/>
      <c r="S123" s="4"/>
      <c r="T123" s="4" t="str">
        <f>HYPERLINK("http://slimages.macys.com/is/image/MCY/18971277 ")</f>
        <v xml:space="preserve">http://slimages.macys.com/is/image/MCY/18971277 </v>
      </c>
    </row>
    <row r="124" spans="1:20" ht="15" customHeight="1" x14ac:dyDescent="0.25">
      <c r="A124" s="4" t="s">
        <v>2489</v>
      </c>
      <c r="B124" s="2" t="s">
        <v>2487</v>
      </c>
      <c r="C124" s="2" t="s">
        <v>2488</v>
      </c>
      <c r="D124" s="5" t="s">
        <v>2490</v>
      </c>
      <c r="E124" s="4" t="s">
        <v>2491</v>
      </c>
      <c r="F124" s="6">
        <v>14264488</v>
      </c>
      <c r="G124" s="3">
        <v>14264488</v>
      </c>
      <c r="H124" s="7">
        <v>194955950142</v>
      </c>
      <c r="I124" s="8" t="s">
        <v>727</v>
      </c>
      <c r="J124" s="4">
        <v>1</v>
      </c>
      <c r="K124" s="9">
        <v>32.99</v>
      </c>
      <c r="L124" s="9">
        <v>32.99</v>
      </c>
      <c r="M124" s="4" t="s">
        <v>2975</v>
      </c>
      <c r="N124" s="4" t="s">
        <v>2567</v>
      </c>
      <c r="O124" s="4" t="s">
        <v>2555</v>
      </c>
      <c r="P124" s="4" t="s">
        <v>2499</v>
      </c>
      <c r="Q124" s="4" t="s">
        <v>2568</v>
      </c>
      <c r="R124" s="4" t="s">
        <v>728</v>
      </c>
      <c r="S124" s="4" t="s">
        <v>2624</v>
      </c>
      <c r="T124" s="4" t="str">
        <f>HYPERLINK("http://images.bloomingdales.com/is/image/BLM/11387658 ")</f>
        <v xml:space="preserve">http://images.bloomingdales.com/is/image/BLM/11387658 </v>
      </c>
    </row>
    <row r="125" spans="1:20" ht="15" customHeight="1" x14ac:dyDescent="0.25">
      <c r="A125" s="4" t="s">
        <v>2489</v>
      </c>
      <c r="B125" s="2" t="s">
        <v>2487</v>
      </c>
      <c r="C125" s="2" t="s">
        <v>2488</v>
      </c>
      <c r="D125" s="5" t="s">
        <v>2490</v>
      </c>
      <c r="E125" s="4" t="s">
        <v>2491</v>
      </c>
      <c r="F125" s="6">
        <v>14264488</v>
      </c>
      <c r="G125" s="3">
        <v>14264488</v>
      </c>
      <c r="H125" s="7">
        <v>194135482975</v>
      </c>
      <c r="I125" s="8" t="s">
        <v>729</v>
      </c>
      <c r="J125" s="4">
        <v>1</v>
      </c>
      <c r="K125" s="9">
        <v>7.28</v>
      </c>
      <c r="L125" s="9">
        <v>7.28</v>
      </c>
      <c r="M125" s="4" t="s">
        <v>730</v>
      </c>
      <c r="N125" s="4" t="s">
        <v>2518</v>
      </c>
      <c r="O125" s="4"/>
      <c r="P125" s="4" t="s">
        <v>2657</v>
      </c>
      <c r="Q125" s="4" t="s">
        <v>2658</v>
      </c>
      <c r="R125" s="4"/>
      <c r="S125" s="4"/>
      <c r="T125" s="4" t="str">
        <f>HYPERLINK("http://slimages.macys.com/is/image/MCY/19944545 ")</f>
        <v xml:space="preserve">http://slimages.macys.com/is/image/MCY/19944545 </v>
      </c>
    </row>
    <row r="126" spans="1:20" ht="15" customHeight="1" x14ac:dyDescent="0.25">
      <c r="A126" s="4" t="s">
        <v>2489</v>
      </c>
      <c r="B126" s="2" t="s">
        <v>2487</v>
      </c>
      <c r="C126" s="2" t="s">
        <v>2488</v>
      </c>
      <c r="D126" s="5" t="s">
        <v>2490</v>
      </c>
      <c r="E126" s="4" t="s">
        <v>2491</v>
      </c>
      <c r="F126" s="6">
        <v>14264488</v>
      </c>
      <c r="G126" s="3">
        <v>14264488</v>
      </c>
      <c r="H126" s="7">
        <v>195958094529</v>
      </c>
      <c r="I126" s="8" t="s">
        <v>731</v>
      </c>
      <c r="J126" s="4">
        <v>5</v>
      </c>
      <c r="K126" s="9">
        <v>29.5</v>
      </c>
      <c r="L126" s="9">
        <v>147.5</v>
      </c>
      <c r="M126" s="4" t="s">
        <v>592</v>
      </c>
      <c r="N126" s="4" t="s">
        <v>2497</v>
      </c>
      <c r="O126" s="4"/>
      <c r="P126" s="4" t="s">
        <v>2985</v>
      </c>
      <c r="Q126" s="4" t="s">
        <v>2715</v>
      </c>
      <c r="R126" s="4"/>
      <c r="S126" s="4"/>
      <c r="T126" s="4" t="str">
        <f>HYPERLINK("http://slimages.macys.com/is/image/MCY/20038537 ")</f>
        <v xml:space="preserve">http://slimages.macys.com/is/image/MCY/20038537 </v>
      </c>
    </row>
    <row r="127" spans="1:20" ht="15" customHeight="1" x14ac:dyDescent="0.25">
      <c r="A127" s="4" t="s">
        <v>2489</v>
      </c>
      <c r="B127" s="2" t="s">
        <v>2487</v>
      </c>
      <c r="C127" s="2" t="s">
        <v>2488</v>
      </c>
      <c r="D127" s="5" t="s">
        <v>2490</v>
      </c>
      <c r="E127" s="4" t="s">
        <v>2491</v>
      </c>
      <c r="F127" s="6">
        <v>14264488</v>
      </c>
      <c r="G127" s="3">
        <v>14264488</v>
      </c>
      <c r="H127" s="7">
        <v>652874248806</v>
      </c>
      <c r="I127" s="8" t="s">
        <v>732</v>
      </c>
      <c r="J127" s="4">
        <v>2</v>
      </c>
      <c r="K127" s="9">
        <v>19.989999999999998</v>
      </c>
      <c r="L127" s="9">
        <v>39.979999999999997</v>
      </c>
      <c r="M127" s="4" t="s">
        <v>733</v>
      </c>
      <c r="N127" s="4" t="s">
        <v>2664</v>
      </c>
      <c r="O127" s="4" t="s">
        <v>2498</v>
      </c>
      <c r="P127" s="4" t="s">
        <v>2536</v>
      </c>
      <c r="Q127" s="4" t="s">
        <v>2537</v>
      </c>
      <c r="R127" s="4"/>
      <c r="S127" s="4"/>
      <c r="T127" s="4" t="str">
        <f>HYPERLINK("http://slimages.macys.com/is/image/MCY/19912603 ")</f>
        <v xml:space="preserve">http://slimages.macys.com/is/image/MCY/19912603 </v>
      </c>
    </row>
    <row r="128" spans="1:20" ht="15" customHeight="1" x14ac:dyDescent="0.25">
      <c r="A128" s="4" t="s">
        <v>2489</v>
      </c>
      <c r="B128" s="2" t="s">
        <v>2487</v>
      </c>
      <c r="C128" s="2" t="s">
        <v>2488</v>
      </c>
      <c r="D128" s="5" t="s">
        <v>2490</v>
      </c>
      <c r="E128" s="4" t="s">
        <v>2491</v>
      </c>
      <c r="F128" s="6">
        <v>14264488</v>
      </c>
      <c r="G128" s="3">
        <v>14264488</v>
      </c>
      <c r="H128" s="7">
        <v>696114360637</v>
      </c>
      <c r="I128" s="8" t="s">
        <v>3452</v>
      </c>
      <c r="J128" s="4">
        <v>3</v>
      </c>
      <c r="K128" s="9">
        <v>17.989999999999998</v>
      </c>
      <c r="L128" s="9">
        <v>53.97</v>
      </c>
      <c r="M128" s="4" t="s">
        <v>3453</v>
      </c>
      <c r="N128" s="4" t="s">
        <v>2530</v>
      </c>
      <c r="O128" s="4"/>
      <c r="P128" s="4" t="s">
        <v>2569</v>
      </c>
      <c r="Q128" s="4" t="s">
        <v>2679</v>
      </c>
      <c r="R128" s="4"/>
      <c r="S128" s="4"/>
      <c r="T128" s="4" t="str">
        <f>HYPERLINK("http://slimages.macys.com/is/image/MCY/18705198 ")</f>
        <v xml:space="preserve">http://slimages.macys.com/is/image/MCY/18705198 </v>
      </c>
    </row>
    <row r="129" spans="1:20" ht="15" customHeight="1" x14ac:dyDescent="0.25">
      <c r="A129" s="4" t="s">
        <v>2489</v>
      </c>
      <c r="B129" s="2" t="s">
        <v>2487</v>
      </c>
      <c r="C129" s="2" t="s">
        <v>2488</v>
      </c>
      <c r="D129" s="5" t="s">
        <v>2490</v>
      </c>
      <c r="E129" s="4" t="s">
        <v>2491</v>
      </c>
      <c r="F129" s="6">
        <v>14264488</v>
      </c>
      <c r="G129" s="3">
        <v>14264488</v>
      </c>
      <c r="H129" s="7">
        <v>194811171049</v>
      </c>
      <c r="I129" s="8" t="s">
        <v>734</v>
      </c>
      <c r="J129" s="4">
        <v>1</v>
      </c>
      <c r="K129" s="9">
        <v>50</v>
      </c>
      <c r="L129" s="9">
        <v>50</v>
      </c>
      <c r="M129" s="4" t="s">
        <v>735</v>
      </c>
      <c r="N129" s="4" t="s">
        <v>2514</v>
      </c>
      <c r="O129" s="4" t="s">
        <v>2555</v>
      </c>
      <c r="P129" s="4" t="s">
        <v>2619</v>
      </c>
      <c r="Q129" s="4" t="s">
        <v>2760</v>
      </c>
      <c r="R129" s="4"/>
      <c r="S129" s="4"/>
      <c r="T129" s="4" t="str">
        <f>HYPERLINK("http://slimages.macys.com/is/image/MCY/17946985 ")</f>
        <v xml:space="preserve">http://slimages.macys.com/is/image/MCY/17946985 </v>
      </c>
    </row>
    <row r="130" spans="1:20" ht="15" customHeight="1" x14ac:dyDescent="0.25">
      <c r="A130" s="4" t="s">
        <v>2489</v>
      </c>
      <c r="B130" s="2" t="s">
        <v>2487</v>
      </c>
      <c r="C130" s="2" t="s">
        <v>2488</v>
      </c>
      <c r="D130" s="5" t="s">
        <v>2490</v>
      </c>
      <c r="E130" s="4" t="s">
        <v>2491</v>
      </c>
      <c r="F130" s="6">
        <v>14264488</v>
      </c>
      <c r="G130" s="3">
        <v>14264488</v>
      </c>
      <c r="H130" s="7">
        <v>194753355941</v>
      </c>
      <c r="I130" s="8" t="s">
        <v>736</v>
      </c>
      <c r="J130" s="4">
        <v>1</v>
      </c>
      <c r="K130" s="9">
        <v>44.5</v>
      </c>
      <c r="L130" s="9">
        <v>44.5</v>
      </c>
      <c r="M130" s="4" t="s">
        <v>737</v>
      </c>
      <c r="N130" s="4" t="s">
        <v>2505</v>
      </c>
      <c r="O130" s="4"/>
      <c r="P130" s="4" t="s">
        <v>2985</v>
      </c>
      <c r="Q130" s="4" t="s">
        <v>2715</v>
      </c>
      <c r="R130" s="4"/>
      <c r="S130" s="4"/>
      <c r="T130" s="4" t="str">
        <f>HYPERLINK("http://slimages.macys.com/is/image/MCY/17927263 ")</f>
        <v xml:space="preserve">http://slimages.macys.com/is/image/MCY/17927263 </v>
      </c>
    </row>
    <row r="131" spans="1:20" ht="15" customHeight="1" x14ac:dyDescent="0.25">
      <c r="A131" s="4" t="s">
        <v>2489</v>
      </c>
      <c r="B131" s="2" t="s">
        <v>2487</v>
      </c>
      <c r="C131" s="2" t="s">
        <v>2488</v>
      </c>
      <c r="D131" s="5" t="s">
        <v>2490</v>
      </c>
      <c r="E131" s="4" t="s">
        <v>2491</v>
      </c>
      <c r="F131" s="6">
        <v>14264488</v>
      </c>
      <c r="G131" s="3">
        <v>14264488</v>
      </c>
      <c r="H131" s="7">
        <v>733004553295</v>
      </c>
      <c r="I131" s="8" t="s">
        <v>738</v>
      </c>
      <c r="J131" s="4">
        <v>1</v>
      </c>
      <c r="K131" s="9">
        <v>14.99</v>
      </c>
      <c r="L131" s="9">
        <v>14.99</v>
      </c>
      <c r="M131" s="4" t="s">
        <v>739</v>
      </c>
      <c r="N131" s="4" t="s">
        <v>2567</v>
      </c>
      <c r="O131" s="4" t="s">
        <v>2532</v>
      </c>
      <c r="P131" s="4" t="s">
        <v>2520</v>
      </c>
      <c r="Q131" s="4" t="s">
        <v>2521</v>
      </c>
      <c r="R131" s="4"/>
      <c r="S131" s="4"/>
      <c r="T131" s="4" t="str">
        <f>HYPERLINK("http://slimages.macys.com/is/image/MCY/19973356 ")</f>
        <v xml:space="preserve">http://slimages.macys.com/is/image/MCY/19973356 </v>
      </c>
    </row>
    <row r="132" spans="1:20" ht="15" customHeight="1" x14ac:dyDescent="0.25">
      <c r="A132" s="4" t="s">
        <v>2489</v>
      </c>
      <c r="B132" s="2" t="s">
        <v>2487</v>
      </c>
      <c r="C132" s="2" t="s">
        <v>2488</v>
      </c>
      <c r="D132" s="5" t="s">
        <v>2490</v>
      </c>
      <c r="E132" s="4" t="s">
        <v>2491</v>
      </c>
      <c r="F132" s="6">
        <v>14264488</v>
      </c>
      <c r="G132" s="3">
        <v>14264488</v>
      </c>
      <c r="H132" s="7">
        <v>742728990163</v>
      </c>
      <c r="I132" s="8" t="s">
        <v>740</v>
      </c>
      <c r="J132" s="4">
        <v>1</v>
      </c>
      <c r="K132" s="9">
        <v>38.99</v>
      </c>
      <c r="L132" s="9">
        <v>38.99</v>
      </c>
      <c r="M132" s="4" t="s">
        <v>741</v>
      </c>
      <c r="N132" s="4" t="s">
        <v>2535</v>
      </c>
      <c r="O132" s="4" t="s">
        <v>2519</v>
      </c>
      <c r="P132" s="4" t="s">
        <v>2499</v>
      </c>
      <c r="Q132" s="4" t="s">
        <v>2752</v>
      </c>
      <c r="R132" s="4"/>
      <c r="S132" s="4"/>
      <c r="T132" s="4" t="str">
        <f>HYPERLINK("http://slimages.macys.com/is/image/MCY/19692484 ")</f>
        <v xml:space="preserve">http://slimages.macys.com/is/image/MCY/19692484 </v>
      </c>
    </row>
    <row r="133" spans="1:20" ht="15" customHeight="1" x14ac:dyDescent="0.25">
      <c r="A133" s="4" t="s">
        <v>2489</v>
      </c>
      <c r="B133" s="2" t="s">
        <v>2487</v>
      </c>
      <c r="C133" s="2" t="s">
        <v>2488</v>
      </c>
      <c r="D133" s="5" t="s">
        <v>2490</v>
      </c>
      <c r="E133" s="4" t="s">
        <v>2491</v>
      </c>
      <c r="F133" s="6">
        <v>14264488</v>
      </c>
      <c r="G133" s="3">
        <v>14264488</v>
      </c>
      <c r="H133" s="7">
        <v>194257392244</v>
      </c>
      <c r="I133" s="8" t="s">
        <v>2396</v>
      </c>
      <c r="J133" s="4">
        <v>1</v>
      </c>
      <c r="K133" s="9">
        <v>16.989999999999998</v>
      </c>
      <c r="L133" s="9">
        <v>16.989999999999998</v>
      </c>
      <c r="M133" s="4" t="s">
        <v>2693</v>
      </c>
      <c r="N133" s="4" t="s">
        <v>2531</v>
      </c>
      <c r="O133" s="4" t="s">
        <v>2519</v>
      </c>
      <c r="P133" s="4" t="s">
        <v>2499</v>
      </c>
      <c r="Q133" s="4" t="s">
        <v>2500</v>
      </c>
      <c r="R133" s="4"/>
      <c r="S133" s="4"/>
      <c r="T133" s="4" t="str">
        <f>HYPERLINK("http://slimages.macys.com/is/image/MCY/19513585 ")</f>
        <v xml:space="preserve">http://slimages.macys.com/is/image/MCY/19513585 </v>
      </c>
    </row>
    <row r="134" spans="1:20" ht="15" customHeight="1" x14ac:dyDescent="0.25">
      <c r="A134" s="4" t="s">
        <v>2489</v>
      </c>
      <c r="B134" s="2" t="s">
        <v>2487</v>
      </c>
      <c r="C134" s="2" t="s">
        <v>2488</v>
      </c>
      <c r="D134" s="5" t="s">
        <v>2490</v>
      </c>
      <c r="E134" s="4" t="s">
        <v>2491</v>
      </c>
      <c r="F134" s="6">
        <v>14264488</v>
      </c>
      <c r="G134" s="3">
        <v>14264488</v>
      </c>
      <c r="H134" s="7">
        <v>46094839508</v>
      </c>
      <c r="I134" s="8" t="s">
        <v>742</v>
      </c>
      <c r="J134" s="4">
        <v>1</v>
      </c>
      <c r="K134" s="9">
        <v>12.99</v>
      </c>
      <c r="L134" s="9">
        <v>12.99</v>
      </c>
      <c r="M134" s="4" t="s">
        <v>743</v>
      </c>
      <c r="N134" s="4" t="s">
        <v>2731</v>
      </c>
      <c r="O134" s="4"/>
      <c r="P134" s="4" t="s">
        <v>2666</v>
      </c>
      <c r="Q134" s="4" t="s">
        <v>2677</v>
      </c>
      <c r="R134" s="4" t="s">
        <v>2552</v>
      </c>
      <c r="S134" s="4" t="s">
        <v>2678</v>
      </c>
      <c r="T134" s="4" t="str">
        <f>HYPERLINK("http://slimages.macys.com/is/image/MCY/11724543 ")</f>
        <v xml:space="preserve">http://slimages.macys.com/is/image/MCY/11724543 </v>
      </c>
    </row>
    <row r="135" spans="1:20" ht="15" customHeight="1" x14ac:dyDescent="0.25">
      <c r="A135" s="4" t="s">
        <v>2489</v>
      </c>
      <c r="B135" s="2" t="s">
        <v>2487</v>
      </c>
      <c r="C135" s="2" t="s">
        <v>2488</v>
      </c>
      <c r="D135" s="5" t="s">
        <v>2490</v>
      </c>
      <c r="E135" s="4" t="s">
        <v>2491</v>
      </c>
      <c r="F135" s="6">
        <v>14264488</v>
      </c>
      <c r="G135" s="3">
        <v>14264488</v>
      </c>
      <c r="H135" s="7">
        <v>80538118422</v>
      </c>
      <c r="I135" s="8" t="s">
        <v>744</v>
      </c>
      <c r="J135" s="4">
        <v>2</v>
      </c>
      <c r="K135" s="9">
        <v>11.99</v>
      </c>
      <c r="L135" s="9">
        <v>23.98</v>
      </c>
      <c r="M135" s="4">
        <v>64790</v>
      </c>
      <c r="N135" s="4" t="s">
        <v>2497</v>
      </c>
      <c r="O135" s="10">
        <v>45085</v>
      </c>
      <c r="P135" s="4" t="s">
        <v>2666</v>
      </c>
      <c r="Q135" s="4" t="s">
        <v>2778</v>
      </c>
      <c r="R135" s="4" t="s">
        <v>2552</v>
      </c>
      <c r="S135" s="4" t="s">
        <v>3157</v>
      </c>
      <c r="T135" s="4" t="str">
        <f>HYPERLINK("http://slimages.macys.com/is/image/MCY/14914554 ")</f>
        <v xml:space="preserve">http://slimages.macys.com/is/image/MCY/14914554 </v>
      </c>
    </row>
    <row r="136" spans="1:20" ht="15" customHeight="1" x14ac:dyDescent="0.25">
      <c r="A136" s="4" t="s">
        <v>2489</v>
      </c>
      <c r="B136" s="2" t="s">
        <v>2487</v>
      </c>
      <c r="C136" s="2" t="s">
        <v>2488</v>
      </c>
      <c r="D136" s="5" t="s">
        <v>2490</v>
      </c>
      <c r="E136" s="4" t="s">
        <v>2491</v>
      </c>
      <c r="F136" s="6">
        <v>14264488</v>
      </c>
      <c r="G136" s="3">
        <v>14264488</v>
      </c>
      <c r="H136" s="7">
        <v>732995635546</v>
      </c>
      <c r="I136" s="8" t="s">
        <v>745</v>
      </c>
      <c r="J136" s="4">
        <v>2</v>
      </c>
      <c r="K136" s="9">
        <v>5.99</v>
      </c>
      <c r="L136" s="9">
        <v>11.98</v>
      </c>
      <c r="M136" s="4" t="s">
        <v>618</v>
      </c>
      <c r="N136" s="4" t="s">
        <v>2505</v>
      </c>
      <c r="O136" s="4" t="s">
        <v>2559</v>
      </c>
      <c r="P136" s="4" t="s">
        <v>2503</v>
      </c>
      <c r="Q136" s="4" t="s">
        <v>2504</v>
      </c>
      <c r="R136" s="4" t="s">
        <v>2552</v>
      </c>
      <c r="S136" s="4" t="s">
        <v>2834</v>
      </c>
      <c r="T136" s="4" t="str">
        <f>HYPERLINK("http://slimages.macys.com/is/image/MCY/11855486 ")</f>
        <v xml:space="preserve">http://slimages.macys.com/is/image/MCY/11855486 </v>
      </c>
    </row>
    <row r="137" spans="1:20" ht="15" customHeight="1" x14ac:dyDescent="0.25">
      <c r="A137" s="4" t="s">
        <v>2489</v>
      </c>
      <c r="B137" s="2" t="s">
        <v>2487</v>
      </c>
      <c r="C137" s="2" t="s">
        <v>2488</v>
      </c>
      <c r="D137" s="5" t="s">
        <v>2490</v>
      </c>
      <c r="E137" s="4" t="s">
        <v>2491</v>
      </c>
      <c r="F137" s="6">
        <v>14264488</v>
      </c>
      <c r="G137" s="3">
        <v>14264488</v>
      </c>
      <c r="H137" s="7">
        <v>732994877879</v>
      </c>
      <c r="I137" s="8" t="s">
        <v>746</v>
      </c>
      <c r="J137" s="4">
        <v>1</v>
      </c>
      <c r="K137" s="9">
        <v>6.99</v>
      </c>
      <c r="L137" s="9">
        <v>6.99</v>
      </c>
      <c r="M137" s="4">
        <v>10004643300</v>
      </c>
      <c r="N137" s="4" t="s">
        <v>2561</v>
      </c>
      <c r="O137" s="4" t="s">
        <v>2816</v>
      </c>
      <c r="P137" s="4" t="s">
        <v>2503</v>
      </c>
      <c r="Q137" s="4" t="s">
        <v>3320</v>
      </c>
      <c r="R137" s="4" t="s">
        <v>2552</v>
      </c>
      <c r="S137" s="4" t="s">
        <v>747</v>
      </c>
      <c r="T137" s="4" t="str">
        <f>HYPERLINK("http://slimages.macys.com/is/image/MCY/11547123 ")</f>
        <v xml:space="preserve">http://slimages.macys.com/is/image/MCY/11547123 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3"/>
  <sheetViews>
    <sheetView workbookViewId="0">
      <selection activeCell="B23" sqref="B23"/>
    </sheetView>
  </sheetViews>
  <sheetFormatPr defaultRowHeight="15" x14ac:dyDescent="0.25"/>
  <cols>
    <col min="1" max="1" width="19.85546875" bestFit="1" customWidth="1"/>
    <col min="2" max="2" width="34.42578125" bestFit="1" customWidth="1"/>
    <col min="3" max="3" width="26" bestFit="1" customWidth="1"/>
    <col min="4" max="4" width="8.140625" bestFit="1" customWidth="1"/>
    <col min="5" max="5" width="9.85546875" bestFit="1" customWidth="1"/>
    <col min="6" max="7" width="9" bestFit="1" customWidth="1"/>
    <col min="8" max="8" width="13.140625" bestFit="1" customWidth="1"/>
    <col min="9" max="9" width="67.7109375" bestFit="1" customWidth="1"/>
    <col min="10" max="11" width="8.7109375" bestFit="1" customWidth="1"/>
    <col min="12" max="12" width="14.7109375" bestFit="1" customWidth="1"/>
    <col min="13" max="13" width="21.5703125" bestFit="1" customWidth="1"/>
    <col min="14" max="14" width="12.28515625" bestFit="1" customWidth="1"/>
    <col min="15" max="15" width="10" bestFit="1" customWidth="1"/>
    <col min="16" max="16" width="15.7109375" bestFit="1" customWidth="1"/>
    <col min="17" max="17" width="39.5703125" bestFit="1" customWidth="1"/>
    <col min="18" max="18" width="15.5703125" bestFit="1" customWidth="1"/>
    <col min="19" max="19" width="27.28515625" bestFit="1" customWidth="1"/>
    <col min="20" max="20" width="48.140625" bestFit="1" customWidth="1"/>
  </cols>
  <sheetData>
    <row r="1" spans="1:20" ht="24" x14ac:dyDescent="0.25">
      <c r="A1" s="1" t="s">
        <v>2480</v>
      </c>
      <c r="B1" s="1" t="s">
        <v>2482</v>
      </c>
      <c r="C1" s="1" t="s">
        <v>2483</v>
      </c>
      <c r="D1" s="1" t="s">
        <v>2572</v>
      </c>
      <c r="E1" s="1" t="s">
        <v>2573</v>
      </c>
      <c r="F1" s="1" t="s">
        <v>2481</v>
      </c>
      <c r="G1" s="1" t="s">
        <v>2574</v>
      </c>
      <c r="H1" s="1" t="s">
        <v>2575</v>
      </c>
      <c r="I1" s="1" t="s">
        <v>2576</v>
      </c>
      <c r="J1" s="1" t="s">
        <v>2577</v>
      </c>
      <c r="K1" s="1" t="s">
        <v>2485</v>
      </c>
      <c r="L1" s="1" t="s">
        <v>2578</v>
      </c>
      <c r="M1" s="1" t="s">
        <v>2579</v>
      </c>
      <c r="N1" s="1" t="s">
        <v>2580</v>
      </c>
      <c r="O1" s="1" t="s">
        <v>2581</v>
      </c>
      <c r="P1" s="1" t="s">
        <v>2582</v>
      </c>
      <c r="Q1" s="1" t="s">
        <v>2583</v>
      </c>
      <c r="R1" s="1" t="s">
        <v>2584</v>
      </c>
      <c r="S1" s="1" t="s">
        <v>2585</v>
      </c>
      <c r="T1" s="1" t="s">
        <v>2586</v>
      </c>
    </row>
    <row r="2" spans="1:20" ht="15" customHeight="1" x14ac:dyDescent="0.25">
      <c r="A2" s="4" t="s">
        <v>2489</v>
      </c>
      <c r="B2" s="2" t="s">
        <v>2487</v>
      </c>
      <c r="C2" s="2" t="s">
        <v>2488</v>
      </c>
      <c r="D2" s="5" t="s">
        <v>2490</v>
      </c>
      <c r="E2" s="4" t="s">
        <v>2491</v>
      </c>
      <c r="F2" s="6">
        <v>14236763</v>
      </c>
      <c r="G2" s="3">
        <v>14236763</v>
      </c>
      <c r="H2" s="7">
        <v>193855630093</v>
      </c>
      <c r="I2" s="8" t="s">
        <v>779</v>
      </c>
      <c r="J2" s="4">
        <v>1</v>
      </c>
      <c r="K2" s="9">
        <v>49.99</v>
      </c>
      <c r="L2" s="9">
        <v>49.99</v>
      </c>
      <c r="M2" s="4">
        <v>1515091</v>
      </c>
      <c r="N2" s="4" t="s">
        <v>2535</v>
      </c>
      <c r="O2" s="4" t="s">
        <v>2524</v>
      </c>
      <c r="P2" s="4" t="s">
        <v>2550</v>
      </c>
      <c r="Q2" s="4" t="s">
        <v>2551</v>
      </c>
      <c r="R2" s="4" t="s">
        <v>2552</v>
      </c>
      <c r="S2" s="4" t="s">
        <v>2624</v>
      </c>
      <c r="T2" s="4" t="str">
        <f>HYPERLINK("http://slimages.macys.com/is/image/MCY/13950531 ")</f>
        <v xml:space="preserve">http://slimages.macys.com/is/image/MCY/13950531 </v>
      </c>
    </row>
    <row r="3" spans="1:20" ht="15" customHeight="1" x14ac:dyDescent="0.25">
      <c r="A3" s="4" t="s">
        <v>2489</v>
      </c>
      <c r="B3" s="2" t="s">
        <v>2487</v>
      </c>
      <c r="C3" s="2" t="s">
        <v>2488</v>
      </c>
      <c r="D3" s="5" t="s">
        <v>2490</v>
      </c>
      <c r="E3" s="4" t="s">
        <v>2491</v>
      </c>
      <c r="F3" s="6">
        <v>14236763</v>
      </c>
      <c r="G3" s="3">
        <v>14236763</v>
      </c>
      <c r="H3" s="7">
        <v>194135635333</v>
      </c>
      <c r="I3" s="8" t="s">
        <v>780</v>
      </c>
      <c r="J3" s="4">
        <v>1</v>
      </c>
      <c r="K3" s="9">
        <v>17.32</v>
      </c>
      <c r="L3" s="9">
        <v>17.32</v>
      </c>
      <c r="M3" s="4" t="s">
        <v>3131</v>
      </c>
      <c r="N3" s="4"/>
      <c r="O3" s="4" t="s">
        <v>2524</v>
      </c>
      <c r="P3" s="4" t="s">
        <v>2657</v>
      </c>
      <c r="Q3" s="4" t="s">
        <v>2658</v>
      </c>
      <c r="R3" s="4"/>
      <c r="S3" s="4"/>
      <c r="T3" s="4" t="str">
        <f>HYPERLINK("http://slimages.macys.com/is/image/MCY/20193509 ")</f>
        <v xml:space="preserve">http://slimages.macys.com/is/image/MCY/20193509 </v>
      </c>
    </row>
    <row r="4" spans="1:20" ht="15" customHeight="1" x14ac:dyDescent="0.25">
      <c r="A4" s="4" t="s">
        <v>2489</v>
      </c>
      <c r="B4" s="2" t="s">
        <v>2487</v>
      </c>
      <c r="C4" s="2" t="s">
        <v>2488</v>
      </c>
      <c r="D4" s="5" t="s">
        <v>2490</v>
      </c>
      <c r="E4" s="4" t="s">
        <v>2491</v>
      </c>
      <c r="F4" s="6">
        <v>14236763</v>
      </c>
      <c r="G4" s="3">
        <v>14236763</v>
      </c>
      <c r="H4" s="7">
        <v>733003909376</v>
      </c>
      <c r="I4" s="8" t="s">
        <v>1943</v>
      </c>
      <c r="J4" s="4">
        <v>1</v>
      </c>
      <c r="K4" s="9">
        <v>39.99</v>
      </c>
      <c r="L4" s="9">
        <v>39.99</v>
      </c>
      <c r="M4" s="4" t="s">
        <v>2848</v>
      </c>
      <c r="N4" s="4" t="s">
        <v>2600</v>
      </c>
      <c r="O4" s="4" t="s">
        <v>2559</v>
      </c>
      <c r="P4" s="4" t="s">
        <v>2503</v>
      </c>
      <c r="Q4" s="4" t="s">
        <v>2504</v>
      </c>
      <c r="R4" s="4"/>
      <c r="S4" s="4"/>
      <c r="T4" s="4" t="str">
        <f>HYPERLINK("http://slimages.macys.com/is/image/MCY/19521517 ")</f>
        <v xml:space="preserve">http://slimages.macys.com/is/image/MCY/19521517 </v>
      </c>
    </row>
    <row r="5" spans="1:20" ht="15" customHeight="1" x14ac:dyDescent="0.25">
      <c r="A5" s="4" t="s">
        <v>2489</v>
      </c>
      <c r="B5" s="2" t="s">
        <v>2487</v>
      </c>
      <c r="C5" s="2" t="s">
        <v>2488</v>
      </c>
      <c r="D5" s="5" t="s">
        <v>2490</v>
      </c>
      <c r="E5" s="4" t="s">
        <v>2491</v>
      </c>
      <c r="F5" s="6">
        <v>14236763</v>
      </c>
      <c r="G5" s="3">
        <v>14236763</v>
      </c>
      <c r="H5" s="7">
        <v>194753977310</v>
      </c>
      <c r="I5" s="8" t="s">
        <v>781</v>
      </c>
      <c r="J5" s="4">
        <v>1</v>
      </c>
      <c r="K5" s="9">
        <v>59.5</v>
      </c>
      <c r="L5" s="9">
        <v>59.5</v>
      </c>
      <c r="M5" s="4" t="s">
        <v>3007</v>
      </c>
      <c r="N5" s="4" t="s">
        <v>2565</v>
      </c>
      <c r="O5" s="4"/>
      <c r="P5" s="4" t="s">
        <v>2556</v>
      </c>
      <c r="Q5" s="4" t="s">
        <v>2946</v>
      </c>
      <c r="R5" s="4"/>
      <c r="S5" s="4"/>
      <c r="T5" s="4" t="str">
        <f>HYPERLINK("http://slimages.macys.com/is/image/MCY/20719902 ")</f>
        <v xml:space="preserve">http://slimages.macys.com/is/image/MCY/20719902 </v>
      </c>
    </row>
    <row r="6" spans="1:20" ht="15" customHeight="1" x14ac:dyDescent="0.25">
      <c r="A6" s="4" t="s">
        <v>2489</v>
      </c>
      <c r="B6" s="2" t="s">
        <v>2487</v>
      </c>
      <c r="C6" s="2" t="s">
        <v>2488</v>
      </c>
      <c r="D6" s="5" t="s">
        <v>2490</v>
      </c>
      <c r="E6" s="4" t="s">
        <v>2491</v>
      </c>
      <c r="F6" s="6">
        <v>14236763</v>
      </c>
      <c r="G6" s="3">
        <v>14236763</v>
      </c>
      <c r="H6" s="7">
        <v>194753977280</v>
      </c>
      <c r="I6" s="8" t="s">
        <v>3006</v>
      </c>
      <c r="J6" s="4">
        <v>4</v>
      </c>
      <c r="K6" s="9">
        <v>59.5</v>
      </c>
      <c r="L6" s="9">
        <v>238</v>
      </c>
      <c r="M6" s="4" t="s">
        <v>3007</v>
      </c>
      <c r="N6" s="4" t="s">
        <v>2565</v>
      </c>
      <c r="O6" s="4"/>
      <c r="P6" s="4" t="s">
        <v>2556</v>
      </c>
      <c r="Q6" s="4" t="s">
        <v>2946</v>
      </c>
      <c r="R6" s="4"/>
      <c r="S6" s="4"/>
      <c r="T6" s="4" t="str">
        <f>HYPERLINK("http://slimages.macys.com/is/image/MCY/20719902 ")</f>
        <v xml:space="preserve">http://slimages.macys.com/is/image/MCY/20719902 </v>
      </c>
    </row>
    <row r="7" spans="1:20" ht="15" customHeight="1" x14ac:dyDescent="0.25">
      <c r="A7" s="4" t="s">
        <v>2489</v>
      </c>
      <c r="B7" s="2" t="s">
        <v>2487</v>
      </c>
      <c r="C7" s="2" t="s">
        <v>2488</v>
      </c>
      <c r="D7" s="5" t="s">
        <v>2490</v>
      </c>
      <c r="E7" s="4" t="s">
        <v>2491</v>
      </c>
      <c r="F7" s="6">
        <v>14236763</v>
      </c>
      <c r="G7" s="3">
        <v>14236763</v>
      </c>
      <c r="H7" s="7">
        <v>194257386144</v>
      </c>
      <c r="I7" s="8" t="s">
        <v>782</v>
      </c>
      <c r="J7" s="4">
        <v>1</v>
      </c>
      <c r="K7" s="9">
        <v>15.99</v>
      </c>
      <c r="L7" s="9">
        <v>15.99</v>
      </c>
      <c r="M7" s="4" t="s">
        <v>1409</v>
      </c>
      <c r="N7" s="4" t="s">
        <v>2571</v>
      </c>
      <c r="O7" s="4">
        <v>5</v>
      </c>
      <c r="P7" s="4" t="s">
        <v>2499</v>
      </c>
      <c r="Q7" s="4" t="s">
        <v>2525</v>
      </c>
      <c r="R7" s="4"/>
      <c r="S7" s="4"/>
      <c r="T7" s="4" t="str">
        <f>HYPERLINK("http://slimages.macys.com/is/image/MCY/19944405 ")</f>
        <v xml:space="preserve">http://slimages.macys.com/is/image/MCY/19944405 </v>
      </c>
    </row>
    <row r="8" spans="1:20" ht="15" customHeight="1" x14ac:dyDescent="0.25">
      <c r="A8" s="4" t="s">
        <v>2489</v>
      </c>
      <c r="B8" s="2" t="s">
        <v>2487</v>
      </c>
      <c r="C8" s="2" t="s">
        <v>2488</v>
      </c>
      <c r="D8" s="5" t="s">
        <v>2490</v>
      </c>
      <c r="E8" s="4" t="s">
        <v>2491</v>
      </c>
      <c r="F8" s="6">
        <v>14236763</v>
      </c>
      <c r="G8" s="3">
        <v>14236763</v>
      </c>
      <c r="H8" s="7">
        <v>733004764691</v>
      </c>
      <c r="I8" s="8" t="s">
        <v>783</v>
      </c>
      <c r="J8" s="4">
        <v>1</v>
      </c>
      <c r="K8" s="9">
        <v>21.99</v>
      </c>
      <c r="L8" s="9">
        <v>21.99</v>
      </c>
      <c r="M8" s="4" t="s">
        <v>784</v>
      </c>
      <c r="N8" s="4" t="s">
        <v>2665</v>
      </c>
      <c r="O8" s="4" t="s">
        <v>2671</v>
      </c>
      <c r="P8" s="4" t="s">
        <v>2515</v>
      </c>
      <c r="Q8" s="4" t="s">
        <v>2672</v>
      </c>
      <c r="R8" s="4"/>
      <c r="S8" s="4"/>
      <c r="T8" s="4" t="str">
        <f>HYPERLINK("http://slimages.macys.com/is/image/MCY/20530839 ")</f>
        <v xml:space="preserve">http://slimages.macys.com/is/image/MCY/20530839 </v>
      </c>
    </row>
    <row r="9" spans="1:20" ht="15" customHeight="1" x14ac:dyDescent="0.25">
      <c r="A9" s="4" t="s">
        <v>2489</v>
      </c>
      <c r="B9" s="2" t="s">
        <v>2487</v>
      </c>
      <c r="C9" s="2" t="s">
        <v>2488</v>
      </c>
      <c r="D9" s="5" t="s">
        <v>2490</v>
      </c>
      <c r="E9" s="4" t="s">
        <v>2491</v>
      </c>
      <c r="F9" s="6">
        <v>14236763</v>
      </c>
      <c r="G9" s="3">
        <v>14236763</v>
      </c>
      <c r="H9" s="7">
        <v>194870571453</v>
      </c>
      <c r="I9" s="8" t="s">
        <v>785</v>
      </c>
      <c r="J9" s="4">
        <v>1</v>
      </c>
      <c r="K9" s="9">
        <v>39.99</v>
      </c>
      <c r="L9" s="9">
        <v>39.99</v>
      </c>
      <c r="M9" s="4" t="s">
        <v>3382</v>
      </c>
      <c r="N9" s="4" t="s">
        <v>2682</v>
      </c>
      <c r="O9" s="4" t="s">
        <v>2519</v>
      </c>
      <c r="P9" s="4" t="s">
        <v>2499</v>
      </c>
      <c r="Q9" s="4" t="s">
        <v>2694</v>
      </c>
      <c r="R9" s="4"/>
      <c r="S9" s="4"/>
      <c r="T9" s="4" t="str">
        <f>HYPERLINK("http://slimages.macys.com/is/image/MCY/20077252 ")</f>
        <v xml:space="preserve">http://slimages.macys.com/is/image/MCY/20077252 </v>
      </c>
    </row>
    <row r="10" spans="1:20" ht="15" customHeight="1" x14ac:dyDescent="0.25">
      <c r="A10" s="4" t="s">
        <v>2489</v>
      </c>
      <c r="B10" s="2" t="s">
        <v>2487</v>
      </c>
      <c r="C10" s="2" t="s">
        <v>2488</v>
      </c>
      <c r="D10" s="5" t="s">
        <v>2490</v>
      </c>
      <c r="E10" s="4" t="s">
        <v>2491</v>
      </c>
      <c r="F10" s="6">
        <v>14236763</v>
      </c>
      <c r="G10" s="3">
        <v>14236763</v>
      </c>
      <c r="H10" s="7">
        <v>733004399312</v>
      </c>
      <c r="I10" s="8" t="s">
        <v>786</v>
      </c>
      <c r="J10" s="4">
        <v>1</v>
      </c>
      <c r="K10" s="9">
        <v>21.99</v>
      </c>
      <c r="L10" s="9">
        <v>21.99</v>
      </c>
      <c r="M10" s="4" t="s">
        <v>1910</v>
      </c>
      <c r="N10" s="4" t="s">
        <v>2561</v>
      </c>
      <c r="O10" s="4" t="s">
        <v>2628</v>
      </c>
      <c r="P10" s="4" t="s">
        <v>2515</v>
      </c>
      <c r="Q10" s="4" t="s">
        <v>2672</v>
      </c>
      <c r="R10" s="4"/>
      <c r="S10" s="4"/>
      <c r="T10" s="4" t="str">
        <f>HYPERLINK("http://slimages.macys.com/is/image/MCY/20143304 ")</f>
        <v xml:space="preserve">http://slimages.macys.com/is/image/MCY/20143304 </v>
      </c>
    </row>
    <row r="11" spans="1:20" ht="15" customHeight="1" x14ac:dyDescent="0.25">
      <c r="A11" s="4" t="s">
        <v>2489</v>
      </c>
      <c r="B11" s="2" t="s">
        <v>2487</v>
      </c>
      <c r="C11" s="2" t="s">
        <v>2488</v>
      </c>
      <c r="D11" s="5" t="s">
        <v>2490</v>
      </c>
      <c r="E11" s="4" t="s">
        <v>2491</v>
      </c>
      <c r="F11" s="6">
        <v>14236763</v>
      </c>
      <c r="G11" s="3">
        <v>14236763</v>
      </c>
      <c r="H11" s="7">
        <v>733004297663</v>
      </c>
      <c r="I11" s="8" t="s">
        <v>1617</v>
      </c>
      <c r="J11" s="4">
        <v>1</v>
      </c>
      <c r="K11" s="9">
        <v>27.99</v>
      </c>
      <c r="L11" s="9">
        <v>27.99</v>
      </c>
      <c r="M11" s="4" t="s">
        <v>2949</v>
      </c>
      <c r="N11" s="4" t="s">
        <v>2501</v>
      </c>
      <c r="O11" s="4" t="s">
        <v>2519</v>
      </c>
      <c r="P11" s="4" t="s">
        <v>2515</v>
      </c>
      <c r="Q11" s="4" t="s">
        <v>2672</v>
      </c>
      <c r="R11" s="4"/>
      <c r="S11" s="4"/>
      <c r="T11" s="4" t="str">
        <f>HYPERLINK("http://slimages.macys.com/is/image/MCY/20143279 ")</f>
        <v xml:space="preserve">http://slimages.macys.com/is/image/MCY/20143279 </v>
      </c>
    </row>
    <row r="12" spans="1:20" ht="15" customHeight="1" x14ac:dyDescent="0.25">
      <c r="A12" s="4" t="s">
        <v>2489</v>
      </c>
      <c r="B12" s="2" t="s">
        <v>2487</v>
      </c>
      <c r="C12" s="2" t="s">
        <v>2488</v>
      </c>
      <c r="D12" s="5" t="s">
        <v>2490</v>
      </c>
      <c r="E12" s="4" t="s">
        <v>2491</v>
      </c>
      <c r="F12" s="6">
        <v>14236763</v>
      </c>
      <c r="G12" s="3">
        <v>14236763</v>
      </c>
      <c r="H12" s="7">
        <v>733004780080</v>
      </c>
      <c r="I12" s="8" t="s">
        <v>2071</v>
      </c>
      <c r="J12" s="4">
        <v>2</v>
      </c>
      <c r="K12" s="9">
        <v>7.99</v>
      </c>
      <c r="L12" s="9">
        <v>15.98</v>
      </c>
      <c r="M12" s="4" t="s">
        <v>2692</v>
      </c>
      <c r="N12" s="4" t="s">
        <v>2501</v>
      </c>
      <c r="O12" s="4" t="s">
        <v>2629</v>
      </c>
      <c r="P12" s="4" t="s">
        <v>2602</v>
      </c>
      <c r="Q12" s="4" t="s">
        <v>2528</v>
      </c>
      <c r="R12" s="4"/>
      <c r="S12" s="4"/>
      <c r="T12" s="4" t="str">
        <f>HYPERLINK("http://slimages.macys.com/is/image/MCY/20450163 ")</f>
        <v xml:space="preserve">http://slimages.macys.com/is/image/MCY/20450163 </v>
      </c>
    </row>
    <row r="13" spans="1:20" ht="15" customHeight="1" x14ac:dyDescent="0.25">
      <c r="A13" s="4" t="s">
        <v>2489</v>
      </c>
      <c r="B13" s="2" t="s">
        <v>2487</v>
      </c>
      <c r="C13" s="2" t="s">
        <v>2488</v>
      </c>
      <c r="D13" s="5" t="s">
        <v>2490</v>
      </c>
      <c r="E13" s="4" t="s">
        <v>2491</v>
      </c>
      <c r="F13" s="6">
        <v>14236763</v>
      </c>
      <c r="G13" s="3">
        <v>14236763</v>
      </c>
      <c r="H13" s="7">
        <v>762120162487</v>
      </c>
      <c r="I13" s="8" t="s">
        <v>3140</v>
      </c>
      <c r="J13" s="4">
        <v>1</v>
      </c>
      <c r="K13" s="9">
        <v>7.99</v>
      </c>
      <c r="L13" s="9">
        <v>7.99</v>
      </c>
      <c r="M13" s="4" t="s">
        <v>3141</v>
      </c>
      <c r="N13" s="4" t="s">
        <v>2632</v>
      </c>
      <c r="O13" s="4" t="s">
        <v>2629</v>
      </c>
      <c r="P13" s="4" t="s">
        <v>2602</v>
      </c>
      <c r="Q13" s="4" t="s">
        <v>2528</v>
      </c>
      <c r="R13" s="4"/>
      <c r="S13" s="4"/>
      <c r="T13" s="4" t="str">
        <f>HYPERLINK("http://slimages.macys.com/is/image/MCY/20819691 ")</f>
        <v xml:space="preserve">http://slimages.macys.com/is/image/MCY/20819691 </v>
      </c>
    </row>
    <row r="14" spans="1:20" ht="15" customHeight="1" x14ac:dyDescent="0.25">
      <c r="A14" s="4" t="s">
        <v>2489</v>
      </c>
      <c r="B14" s="2" t="s">
        <v>2487</v>
      </c>
      <c r="C14" s="2" t="s">
        <v>2488</v>
      </c>
      <c r="D14" s="5" t="s">
        <v>2490</v>
      </c>
      <c r="E14" s="4" t="s">
        <v>2491</v>
      </c>
      <c r="F14" s="6">
        <v>14236763</v>
      </c>
      <c r="G14" s="3">
        <v>14236763</v>
      </c>
      <c r="H14" s="7">
        <v>762120160902</v>
      </c>
      <c r="I14" s="8" t="s">
        <v>787</v>
      </c>
      <c r="J14" s="4">
        <v>1</v>
      </c>
      <c r="K14" s="9">
        <v>7.99</v>
      </c>
      <c r="L14" s="9">
        <v>7.99</v>
      </c>
      <c r="M14" s="4" t="s">
        <v>3425</v>
      </c>
      <c r="N14" s="4" t="s">
        <v>2731</v>
      </c>
      <c r="O14" s="4" t="s">
        <v>2650</v>
      </c>
      <c r="P14" s="4" t="s">
        <v>2602</v>
      </c>
      <c r="Q14" s="4" t="s">
        <v>2528</v>
      </c>
      <c r="R14" s="4"/>
      <c r="S14" s="4"/>
      <c r="T14" s="4" t="str">
        <f>HYPERLINK("http://slimages.macys.com/is/image/MCY/20819725 ")</f>
        <v xml:space="preserve">http://slimages.macys.com/is/image/MCY/20819725 </v>
      </c>
    </row>
    <row r="15" spans="1:20" ht="15" customHeight="1" x14ac:dyDescent="0.25">
      <c r="A15" s="4" t="s">
        <v>2489</v>
      </c>
      <c r="B15" s="2" t="s">
        <v>2487</v>
      </c>
      <c r="C15" s="2" t="s">
        <v>2488</v>
      </c>
      <c r="D15" s="5" t="s">
        <v>2490</v>
      </c>
      <c r="E15" s="4" t="s">
        <v>2491</v>
      </c>
      <c r="F15" s="6">
        <v>14236763</v>
      </c>
      <c r="G15" s="3">
        <v>14236763</v>
      </c>
      <c r="H15" s="7">
        <v>762120084703</v>
      </c>
      <c r="I15" s="8" t="s">
        <v>788</v>
      </c>
      <c r="J15" s="4">
        <v>1</v>
      </c>
      <c r="K15" s="9">
        <v>7.99</v>
      </c>
      <c r="L15" s="9">
        <v>7.99</v>
      </c>
      <c r="M15" s="4" t="s">
        <v>3183</v>
      </c>
      <c r="N15" s="4" t="s">
        <v>2565</v>
      </c>
      <c r="O15" s="4" t="s">
        <v>2653</v>
      </c>
      <c r="P15" s="4" t="s">
        <v>2602</v>
      </c>
      <c r="Q15" s="4" t="s">
        <v>2528</v>
      </c>
      <c r="R15" s="4"/>
      <c r="S15" s="4"/>
      <c r="T15" s="4" t="str">
        <f>HYPERLINK("http://slimages.macys.com/is/image/MCY/20691775 ")</f>
        <v xml:space="preserve">http://slimages.macys.com/is/image/MCY/20691775 </v>
      </c>
    </row>
    <row r="16" spans="1:20" ht="15" customHeight="1" x14ac:dyDescent="0.25">
      <c r="A16" s="4" t="s">
        <v>2489</v>
      </c>
      <c r="B16" s="2" t="s">
        <v>2487</v>
      </c>
      <c r="C16" s="2" t="s">
        <v>2488</v>
      </c>
      <c r="D16" s="5" t="s">
        <v>2490</v>
      </c>
      <c r="E16" s="4" t="s">
        <v>2491</v>
      </c>
      <c r="F16" s="6">
        <v>14236763</v>
      </c>
      <c r="G16" s="3">
        <v>14236763</v>
      </c>
      <c r="H16" s="7">
        <v>733004752971</v>
      </c>
      <c r="I16" s="8" t="s">
        <v>1547</v>
      </c>
      <c r="J16" s="4">
        <v>3</v>
      </c>
      <c r="K16" s="9">
        <v>14.99</v>
      </c>
      <c r="L16" s="9">
        <v>44.97</v>
      </c>
      <c r="M16" s="4" t="s">
        <v>2123</v>
      </c>
      <c r="N16" s="4" t="s">
        <v>2514</v>
      </c>
      <c r="O16" s="4" t="s">
        <v>2555</v>
      </c>
      <c r="P16" s="4" t="s">
        <v>2543</v>
      </c>
      <c r="Q16" s="4" t="s">
        <v>2528</v>
      </c>
      <c r="R16" s="4"/>
      <c r="S16" s="4"/>
      <c r="T16" s="4" t="str">
        <f>HYPERLINK("http://slimages.macys.com/is/image/MCY/20440836 ")</f>
        <v xml:space="preserve">http://slimages.macys.com/is/image/MCY/20440836 </v>
      </c>
    </row>
    <row r="17" spans="1:20" ht="15" customHeight="1" x14ac:dyDescent="0.25">
      <c r="A17" s="4" t="s">
        <v>2489</v>
      </c>
      <c r="B17" s="2" t="s">
        <v>2487</v>
      </c>
      <c r="C17" s="2" t="s">
        <v>2488</v>
      </c>
      <c r="D17" s="5" t="s">
        <v>2490</v>
      </c>
      <c r="E17" s="4" t="s">
        <v>2491</v>
      </c>
      <c r="F17" s="6">
        <v>14236763</v>
      </c>
      <c r="G17" s="3">
        <v>14236763</v>
      </c>
      <c r="H17" s="7">
        <v>733004085871</v>
      </c>
      <c r="I17" s="8" t="s">
        <v>1906</v>
      </c>
      <c r="J17" s="4">
        <v>1</v>
      </c>
      <c r="K17" s="9">
        <v>21.99</v>
      </c>
      <c r="L17" s="9">
        <v>21.99</v>
      </c>
      <c r="M17" s="4" t="s">
        <v>3337</v>
      </c>
      <c r="N17" s="4" t="s">
        <v>2523</v>
      </c>
      <c r="O17" s="4" t="s">
        <v>2519</v>
      </c>
      <c r="P17" s="4" t="s">
        <v>2543</v>
      </c>
      <c r="Q17" s="4" t="s">
        <v>2528</v>
      </c>
      <c r="R17" s="4"/>
      <c r="S17" s="4"/>
      <c r="T17" s="4" t="str">
        <f>HYPERLINK("http://slimages.macys.com/is/image/MCY/20084023 ")</f>
        <v xml:space="preserve">http://slimages.macys.com/is/image/MCY/20084023 </v>
      </c>
    </row>
    <row r="18" spans="1:20" ht="15" customHeight="1" x14ac:dyDescent="0.25">
      <c r="A18" s="4" t="s">
        <v>2489</v>
      </c>
      <c r="B18" s="2" t="s">
        <v>2487</v>
      </c>
      <c r="C18" s="2" t="s">
        <v>2488</v>
      </c>
      <c r="D18" s="5" t="s">
        <v>2490</v>
      </c>
      <c r="E18" s="4" t="s">
        <v>2491</v>
      </c>
      <c r="F18" s="6">
        <v>14236763</v>
      </c>
      <c r="G18" s="3">
        <v>14236763</v>
      </c>
      <c r="H18" s="7">
        <v>733004085956</v>
      </c>
      <c r="I18" s="8" t="s">
        <v>750</v>
      </c>
      <c r="J18" s="4">
        <v>4</v>
      </c>
      <c r="K18" s="9">
        <v>21.99</v>
      </c>
      <c r="L18" s="9">
        <v>87.96</v>
      </c>
      <c r="M18" s="4" t="s">
        <v>2038</v>
      </c>
      <c r="N18" s="4" t="s">
        <v>2567</v>
      </c>
      <c r="O18" s="4" t="s">
        <v>2519</v>
      </c>
      <c r="P18" s="4" t="s">
        <v>2543</v>
      </c>
      <c r="Q18" s="4" t="s">
        <v>2528</v>
      </c>
      <c r="R18" s="4"/>
      <c r="S18" s="4"/>
      <c r="T18" s="4" t="str">
        <f>HYPERLINK("http://slimages.macys.com/is/image/MCY/19965740 ")</f>
        <v xml:space="preserve">http://slimages.macys.com/is/image/MCY/19965740 </v>
      </c>
    </row>
    <row r="19" spans="1:20" ht="15" customHeight="1" x14ac:dyDescent="0.25">
      <c r="A19" s="4" t="s">
        <v>2489</v>
      </c>
      <c r="B19" s="2" t="s">
        <v>2487</v>
      </c>
      <c r="C19" s="2" t="s">
        <v>2488</v>
      </c>
      <c r="D19" s="5" t="s">
        <v>2490</v>
      </c>
      <c r="E19" s="4" t="s">
        <v>2491</v>
      </c>
      <c r="F19" s="6">
        <v>14236763</v>
      </c>
      <c r="G19" s="3">
        <v>14236763</v>
      </c>
      <c r="H19" s="7">
        <v>733004085970</v>
      </c>
      <c r="I19" s="8" t="s">
        <v>1344</v>
      </c>
      <c r="J19" s="4">
        <v>1</v>
      </c>
      <c r="K19" s="9">
        <v>21.99</v>
      </c>
      <c r="L19" s="9">
        <v>21.99</v>
      </c>
      <c r="M19" s="4" t="s">
        <v>2038</v>
      </c>
      <c r="N19" s="4" t="s">
        <v>2567</v>
      </c>
      <c r="O19" s="4" t="s">
        <v>2498</v>
      </c>
      <c r="P19" s="4" t="s">
        <v>2543</v>
      </c>
      <c r="Q19" s="4" t="s">
        <v>2528</v>
      </c>
      <c r="R19" s="4"/>
      <c r="S19" s="4"/>
      <c r="T19" s="4" t="str">
        <f>HYPERLINK("http://slimages.macys.com/is/image/MCY/19965740 ")</f>
        <v xml:space="preserve">http://slimages.macys.com/is/image/MCY/19965740 </v>
      </c>
    </row>
    <row r="20" spans="1:20" ht="15" customHeight="1" x14ac:dyDescent="0.25">
      <c r="A20" s="4" t="s">
        <v>2489</v>
      </c>
      <c r="B20" s="2" t="s">
        <v>2487</v>
      </c>
      <c r="C20" s="2" t="s">
        <v>2488</v>
      </c>
      <c r="D20" s="5" t="s">
        <v>2490</v>
      </c>
      <c r="E20" s="4" t="s">
        <v>2491</v>
      </c>
      <c r="F20" s="6">
        <v>14236763</v>
      </c>
      <c r="G20" s="3">
        <v>14236763</v>
      </c>
      <c r="H20" s="7">
        <v>762120216357</v>
      </c>
      <c r="I20" s="8" t="s">
        <v>2993</v>
      </c>
      <c r="J20" s="4">
        <v>1</v>
      </c>
      <c r="K20" s="9">
        <v>21.99</v>
      </c>
      <c r="L20" s="9">
        <v>21.99</v>
      </c>
      <c r="M20" s="4" t="s">
        <v>2994</v>
      </c>
      <c r="N20" s="4" t="s">
        <v>2565</v>
      </c>
      <c r="O20" s="4" t="s">
        <v>2671</v>
      </c>
      <c r="P20" s="4" t="s">
        <v>2515</v>
      </c>
      <c r="Q20" s="4" t="s">
        <v>2672</v>
      </c>
      <c r="R20" s="4"/>
      <c r="S20" s="4"/>
      <c r="T20" s="4" t="str">
        <f>HYPERLINK("http://slimages.macys.com/is/image/MCY/20411699 ")</f>
        <v xml:space="preserve">http://slimages.macys.com/is/image/MCY/20411699 </v>
      </c>
    </row>
    <row r="21" spans="1:20" ht="15" customHeight="1" x14ac:dyDescent="0.25">
      <c r="A21" s="4" t="s">
        <v>2489</v>
      </c>
      <c r="B21" s="2" t="s">
        <v>2487</v>
      </c>
      <c r="C21" s="2" t="s">
        <v>2488</v>
      </c>
      <c r="D21" s="5" t="s">
        <v>2490</v>
      </c>
      <c r="E21" s="4" t="s">
        <v>2491</v>
      </c>
      <c r="F21" s="6">
        <v>14236763</v>
      </c>
      <c r="G21" s="3">
        <v>14236763</v>
      </c>
      <c r="H21" s="7">
        <v>733002929955</v>
      </c>
      <c r="I21" s="8" t="s">
        <v>2541</v>
      </c>
      <c r="J21" s="4">
        <v>1</v>
      </c>
      <c r="K21" s="9">
        <v>7.99</v>
      </c>
      <c r="L21" s="9">
        <v>7.99</v>
      </c>
      <c r="M21" s="4" t="s">
        <v>2542</v>
      </c>
      <c r="N21" s="4" t="s">
        <v>2508</v>
      </c>
      <c r="O21" s="4" t="s">
        <v>2519</v>
      </c>
      <c r="P21" s="4" t="s">
        <v>2543</v>
      </c>
      <c r="Q21" s="4" t="s">
        <v>2528</v>
      </c>
      <c r="R21" s="4"/>
      <c r="S21" s="4"/>
      <c r="T21" s="4" t="str">
        <f>HYPERLINK("http://slimages.macys.com/is/image/MCY/19252868 ")</f>
        <v xml:space="preserve">http://slimages.macys.com/is/image/MCY/19252868 </v>
      </c>
    </row>
    <row r="22" spans="1:20" ht="15" customHeight="1" x14ac:dyDescent="0.25">
      <c r="A22" s="4" t="s">
        <v>2489</v>
      </c>
      <c r="B22" s="2" t="s">
        <v>2487</v>
      </c>
      <c r="C22" s="2" t="s">
        <v>2488</v>
      </c>
      <c r="D22" s="5" t="s">
        <v>2490</v>
      </c>
      <c r="E22" s="4" t="s">
        <v>2491</v>
      </c>
      <c r="F22" s="6">
        <v>14236763</v>
      </c>
      <c r="G22" s="3">
        <v>14236763</v>
      </c>
      <c r="H22" s="7">
        <v>733004780158</v>
      </c>
      <c r="I22" s="8" t="s">
        <v>1401</v>
      </c>
      <c r="J22" s="4">
        <v>1</v>
      </c>
      <c r="K22" s="9">
        <v>7.99</v>
      </c>
      <c r="L22" s="9">
        <v>7.99</v>
      </c>
      <c r="M22" s="4" t="s">
        <v>3126</v>
      </c>
      <c r="N22" s="4" t="s">
        <v>2567</v>
      </c>
      <c r="O22" s="4" t="s">
        <v>2628</v>
      </c>
      <c r="P22" s="4" t="s">
        <v>2602</v>
      </c>
      <c r="Q22" s="4" t="s">
        <v>2528</v>
      </c>
      <c r="R22" s="4"/>
      <c r="S22" s="4"/>
      <c r="T22" s="4" t="str">
        <f>HYPERLINK("http://slimages.macys.com/is/image/MCY/20450165 ")</f>
        <v xml:space="preserve">http://slimages.macys.com/is/image/MCY/20450165 </v>
      </c>
    </row>
    <row r="23" spans="1:20" ht="15" customHeight="1" x14ac:dyDescent="0.25">
      <c r="A23" s="4" t="s">
        <v>2489</v>
      </c>
      <c r="B23" s="2" t="s">
        <v>2487</v>
      </c>
      <c r="C23" s="2" t="s">
        <v>2488</v>
      </c>
      <c r="D23" s="5" t="s">
        <v>2490</v>
      </c>
      <c r="E23" s="4" t="s">
        <v>2491</v>
      </c>
      <c r="F23" s="6">
        <v>14236763</v>
      </c>
      <c r="G23" s="3">
        <v>14236763</v>
      </c>
      <c r="H23" s="7">
        <v>733004780929</v>
      </c>
      <c r="I23" s="8" t="s">
        <v>1541</v>
      </c>
      <c r="J23" s="4">
        <v>2</v>
      </c>
      <c r="K23" s="9">
        <v>11.99</v>
      </c>
      <c r="L23" s="9">
        <v>23.98</v>
      </c>
      <c r="M23" s="4" t="s">
        <v>3083</v>
      </c>
      <c r="N23" s="4" t="s">
        <v>2530</v>
      </c>
      <c r="O23" s="4" t="s">
        <v>2629</v>
      </c>
      <c r="P23" s="4" t="s">
        <v>2602</v>
      </c>
      <c r="Q23" s="4" t="s">
        <v>2528</v>
      </c>
      <c r="R23" s="4"/>
      <c r="S23" s="4"/>
      <c r="T23" s="4" t="str">
        <f>HYPERLINK("http://slimages.macys.com/is/image/MCY/20450174 ")</f>
        <v xml:space="preserve">http://slimages.macys.com/is/image/MCY/20450174 </v>
      </c>
    </row>
    <row r="24" spans="1:20" ht="15" customHeight="1" x14ac:dyDescent="0.25">
      <c r="A24" s="4" t="s">
        <v>2489</v>
      </c>
      <c r="B24" s="2" t="s">
        <v>2487</v>
      </c>
      <c r="C24" s="2" t="s">
        <v>2488</v>
      </c>
      <c r="D24" s="5" t="s">
        <v>2490</v>
      </c>
      <c r="E24" s="4" t="s">
        <v>2491</v>
      </c>
      <c r="F24" s="6">
        <v>14236763</v>
      </c>
      <c r="G24" s="3">
        <v>14236763</v>
      </c>
      <c r="H24" s="7">
        <v>193666752618</v>
      </c>
      <c r="I24" s="8" t="s">
        <v>789</v>
      </c>
      <c r="J24" s="4">
        <v>1</v>
      </c>
      <c r="K24" s="9">
        <v>11.99</v>
      </c>
      <c r="L24" s="9">
        <v>11.99</v>
      </c>
      <c r="M24" s="4">
        <v>4217</v>
      </c>
      <c r="N24" s="4" t="s">
        <v>2501</v>
      </c>
      <c r="O24" s="4" t="s">
        <v>2555</v>
      </c>
      <c r="P24" s="4" t="s">
        <v>2666</v>
      </c>
      <c r="Q24" s="4" t="s">
        <v>2667</v>
      </c>
      <c r="R24" s="4" t="s">
        <v>2552</v>
      </c>
      <c r="S24" s="4" t="s">
        <v>3157</v>
      </c>
      <c r="T24" s="4" t="str">
        <f>HYPERLINK("http://slimages.macys.com/is/image/MCY/13050192 ")</f>
        <v xml:space="preserve">http://slimages.macys.com/is/image/MCY/13050192 </v>
      </c>
    </row>
    <row r="25" spans="1:20" ht="15" customHeight="1" x14ac:dyDescent="0.25">
      <c r="A25" s="4" t="s">
        <v>2489</v>
      </c>
      <c r="B25" s="2" t="s">
        <v>2487</v>
      </c>
      <c r="C25" s="2" t="s">
        <v>2488</v>
      </c>
      <c r="D25" s="5" t="s">
        <v>2490</v>
      </c>
      <c r="E25" s="4" t="s">
        <v>2491</v>
      </c>
      <c r="F25" s="6">
        <v>14236763</v>
      </c>
      <c r="G25" s="3">
        <v>14236763</v>
      </c>
      <c r="H25" s="7">
        <v>733003644147</v>
      </c>
      <c r="I25" s="8" t="s">
        <v>790</v>
      </c>
      <c r="J25" s="4">
        <v>1</v>
      </c>
      <c r="K25" s="9">
        <v>15.99</v>
      </c>
      <c r="L25" s="9">
        <v>15.99</v>
      </c>
      <c r="M25" s="4" t="s">
        <v>2998</v>
      </c>
      <c r="N25" s="4" t="s">
        <v>2530</v>
      </c>
      <c r="O25" s="4" t="s">
        <v>2653</v>
      </c>
      <c r="P25" s="4" t="s">
        <v>2515</v>
      </c>
      <c r="Q25" s="4" t="s">
        <v>2972</v>
      </c>
      <c r="R25" s="4"/>
      <c r="S25" s="4"/>
      <c r="T25" s="4" t="str">
        <f>HYPERLINK("http://slimages.macys.com/is/image/MCY/20008061 ")</f>
        <v xml:space="preserve">http://slimages.macys.com/is/image/MCY/20008061 </v>
      </c>
    </row>
    <row r="26" spans="1:20" ht="15" customHeight="1" x14ac:dyDescent="0.25">
      <c r="A26" s="4" t="s">
        <v>2489</v>
      </c>
      <c r="B26" s="2" t="s">
        <v>2487</v>
      </c>
      <c r="C26" s="2" t="s">
        <v>2488</v>
      </c>
      <c r="D26" s="5" t="s">
        <v>2490</v>
      </c>
      <c r="E26" s="4" t="s">
        <v>2491</v>
      </c>
      <c r="F26" s="6">
        <v>14236763</v>
      </c>
      <c r="G26" s="3">
        <v>14236763</v>
      </c>
      <c r="H26" s="7">
        <v>46094700464</v>
      </c>
      <c r="I26" s="8" t="s">
        <v>1543</v>
      </c>
      <c r="J26" s="4">
        <v>1</v>
      </c>
      <c r="K26" s="9">
        <v>4.99</v>
      </c>
      <c r="L26" s="9">
        <v>4.99</v>
      </c>
      <c r="M26" s="4" t="s">
        <v>3329</v>
      </c>
      <c r="N26" s="4" t="s">
        <v>2514</v>
      </c>
      <c r="O26" s="4" t="s">
        <v>2671</v>
      </c>
      <c r="P26" s="4" t="s">
        <v>2666</v>
      </c>
      <c r="Q26" s="4" t="s">
        <v>2667</v>
      </c>
      <c r="R26" s="4" t="s">
        <v>2552</v>
      </c>
      <c r="S26" s="4" t="s">
        <v>3157</v>
      </c>
      <c r="T26" s="4" t="str">
        <f>HYPERLINK("http://slimages.macys.com/is/image/MCY/9378229 ")</f>
        <v xml:space="preserve">http://slimages.macys.com/is/image/MCY/9378229 </v>
      </c>
    </row>
    <row r="27" spans="1:20" ht="15" customHeight="1" x14ac:dyDescent="0.25">
      <c r="A27" s="4" t="s">
        <v>2489</v>
      </c>
      <c r="B27" s="2" t="s">
        <v>2487</v>
      </c>
      <c r="C27" s="2" t="s">
        <v>2488</v>
      </c>
      <c r="D27" s="5" t="s">
        <v>2490</v>
      </c>
      <c r="E27" s="4" t="s">
        <v>2491</v>
      </c>
      <c r="F27" s="6">
        <v>14236763</v>
      </c>
      <c r="G27" s="3">
        <v>14236763</v>
      </c>
      <c r="H27" s="7">
        <v>733004779459</v>
      </c>
      <c r="I27" s="8" t="s">
        <v>791</v>
      </c>
      <c r="J27" s="4">
        <v>1</v>
      </c>
      <c r="K27" s="9">
        <v>11.99</v>
      </c>
      <c r="L27" s="9">
        <v>11.99</v>
      </c>
      <c r="M27" s="4" t="s">
        <v>2080</v>
      </c>
      <c r="N27" s="4" t="s">
        <v>2567</v>
      </c>
      <c r="O27" s="4" t="s">
        <v>2650</v>
      </c>
      <c r="P27" s="4" t="s">
        <v>2602</v>
      </c>
      <c r="Q27" s="4" t="s">
        <v>2528</v>
      </c>
      <c r="R27" s="4"/>
      <c r="S27" s="4"/>
      <c r="T27" s="4" t="str">
        <f>HYPERLINK("http://slimages.macys.com/is/image/MCY/20450160 ")</f>
        <v xml:space="preserve">http://slimages.macys.com/is/image/MCY/20450160 </v>
      </c>
    </row>
    <row r="28" spans="1:20" ht="15" customHeight="1" x14ac:dyDescent="0.25">
      <c r="A28" s="4" t="s">
        <v>2489</v>
      </c>
      <c r="B28" s="2" t="s">
        <v>2487</v>
      </c>
      <c r="C28" s="2" t="s">
        <v>2488</v>
      </c>
      <c r="D28" s="5" t="s">
        <v>2490</v>
      </c>
      <c r="E28" s="4" t="s">
        <v>2491</v>
      </c>
      <c r="F28" s="6">
        <v>14236763</v>
      </c>
      <c r="G28" s="3">
        <v>14236763</v>
      </c>
      <c r="H28" s="7">
        <v>195958125292</v>
      </c>
      <c r="I28" s="8" t="s">
        <v>1525</v>
      </c>
      <c r="J28" s="4">
        <v>1</v>
      </c>
      <c r="K28" s="9">
        <v>21.99</v>
      </c>
      <c r="L28" s="9">
        <v>21.99</v>
      </c>
      <c r="M28" s="4" t="s">
        <v>1521</v>
      </c>
      <c r="N28" s="4" t="s">
        <v>2544</v>
      </c>
      <c r="O28" s="4" t="s">
        <v>2524</v>
      </c>
      <c r="P28" s="4" t="s">
        <v>2536</v>
      </c>
      <c r="Q28" s="4" t="s">
        <v>2844</v>
      </c>
      <c r="R28" s="4"/>
      <c r="S28" s="4"/>
      <c r="T28" s="4" t="str">
        <f>HYPERLINK("http://slimages.macys.com/is/image/MCY/20544696 ")</f>
        <v xml:space="preserve">http://slimages.macys.com/is/image/MCY/20544696 </v>
      </c>
    </row>
    <row r="29" spans="1:20" ht="15" customHeight="1" x14ac:dyDescent="0.25">
      <c r="A29" s="4" t="s">
        <v>2489</v>
      </c>
      <c r="B29" s="2" t="s">
        <v>2487</v>
      </c>
      <c r="C29" s="2" t="s">
        <v>2488</v>
      </c>
      <c r="D29" s="5" t="s">
        <v>2490</v>
      </c>
      <c r="E29" s="4" t="s">
        <v>2491</v>
      </c>
      <c r="F29" s="6">
        <v>14236763</v>
      </c>
      <c r="G29" s="3">
        <v>14236763</v>
      </c>
      <c r="H29" s="7">
        <v>733004780035</v>
      </c>
      <c r="I29" s="8" t="s">
        <v>1960</v>
      </c>
      <c r="J29" s="4">
        <v>1</v>
      </c>
      <c r="K29" s="9">
        <v>7.99</v>
      </c>
      <c r="L29" s="9">
        <v>7.99</v>
      </c>
      <c r="M29" s="4" t="s">
        <v>3128</v>
      </c>
      <c r="N29" s="4" t="s">
        <v>2632</v>
      </c>
      <c r="O29" s="4" t="s">
        <v>2628</v>
      </c>
      <c r="P29" s="4" t="s">
        <v>2602</v>
      </c>
      <c r="Q29" s="4" t="s">
        <v>2528</v>
      </c>
      <c r="R29" s="4"/>
      <c r="S29" s="4"/>
      <c r="T29" s="4" t="str">
        <f>HYPERLINK("http://slimages.macys.com/is/image/MCY/20450161 ")</f>
        <v xml:space="preserve">http://slimages.macys.com/is/image/MCY/20450161 </v>
      </c>
    </row>
    <row r="30" spans="1:20" ht="15" customHeight="1" x14ac:dyDescent="0.25">
      <c r="A30" s="4" t="s">
        <v>2489</v>
      </c>
      <c r="B30" s="2" t="s">
        <v>2487</v>
      </c>
      <c r="C30" s="2" t="s">
        <v>2488</v>
      </c>
      <c r="D30" s="5" t="s">
        <v>2490</v>
      </c>
      <c r="E30" s="4" t="s">
        <v>2491</v>
      </c>
      <c r="F30" s="6">
        <v>14236763</v>
      </c>
      <c r="G30" s="3">
        <v>14236763</v>
      </c>
      <c r="H30" s="7">
        <v>733004744563</v>
      </c>
      <c r="I30" s="8" t="s">
        <v>2067</v>
      </c>
      <c r="J30" s="4">
        <v>1</v>
      </c>
      <c r="K30" s="9">
        <v>7.99</v>
      </c>
      <c r="L30" s="9">
        <v>7.99</v>
      </c>
      <c r="M30" s="4" t="s">
        <v>2068</v>
      </c>
      <c r="N30" s="4" t="s">
        <v>2501</v>
      </c>
      <c r="O30" s="4" t="s">
        <v>2650</v>
      </c>
      <c r="P30" s="4" t="s">
        <v>2503</v>
      </c>
      <c r="Q30" s="4" t="s">
        <v>2504</v>
      </c>
      <c r="R30" s="4"/>
      <c r="S30" s="4"/>
      <c r="T30" s="4" t="str">
        <f>HYPERLINK("http://slimages.macys.com/is/image/MCY/19978255 ")</f>
        <v xml:space="preserve">http://slimages.macys.com/is/image/MCY/19978255 </v>
      </c>
    </row>
    <row r="31" spans="1:20" ht="15" customHeight="1" x14ac:dyDescent="0.25">
      <c r="A31" s="4" t="s">
        <v>2489</v>
      </c>
      <c r="B31" s="2" t="s">
        <v>2487</v>
      </c>
      <c r="C31" s="2" t="s">
        <v>2488</v>
      </c>
      <c r="D31" s="5" t="s">
        <v>2490</v>
      </c>
      <c r="E31" s="4" t="s">
        <v>2491</v>
      </c>
      <c r="F31" s="6">
        <v>14236763</v>
      </c>
      <c r="G31" s="3">
        <v>14236763</v>
      </c>
      <c r="H31" s="7">
        <v>733004780691</v>
      </c>
      <c r="I31" s="8" t="s">
        <v>3246</v>
      </c>
      <c r="J31" s="4">
        <v>1</v>
      </c>
      <c r="K31" s="9">
        <v>11.99</v>
      </c>
      <c r="L31" s="9">
        <v>11.99</v>
      </c>
      <c r="M31" s="4" t="s">
        <v>3083</v>
      </c>
      <c r="N31" s="4" t="s">
        <v>2638</v>
      </c>
      <c r="O31" s="4" t="s">
        <v>2650</v>
      </c>
      <c r="P31" s="4" t="s">
        <v>2602</v>
      </c>
      <c r="Q31" s="4" t="s">
        <v>2528</v>
      </c>
      <c r="R31" s="4"/>
      <c r="S31" s="4"/>
      <c r="T31" s="4" t="str">
        <f>HYPERLINK("http://slimages.macys.com/is/image/MCY/20450174 ")</f>
        <v xml:space="preserve">http://slimages.macys.com/is/image/MCY/20450174 </v>
      </c>
    </row>
    <row r="32" spans="1:20" ht="15" customHeight="1" x14ac:dyDescent="0.25">
      <c r="A32" s="4" t="s">
        <v>2489</v>
      </c>
      <c r="B32" s="2" t="s">
        <v>2487</v>
      </c>
      <c r="C32" s="2" t="s">
        <v>2488</v>
      </c>
      <c r="D32" s="5" t="s">
        <v>2490</v>
      </c>
      <c r="E32" s="4" t="s">
        <v>2491</v>
      </c>
      <c r="F32" s="6">
        <v>14236763</v>
      </c>
      <c r="G32" s="3">
        <v>14236763</v>
      </c>
      <c r="H32" s="7">
        <v>196027071953</v>
      </c>
      <c r="I32" s="8" t="s">
        <v>792</v>
      </c>
      <c r="J32" s="4">
        <v>1</v>
      </c>
      <c r="K32" s="9">
        <v>17.989999999999998</v>
      </c>
      <c r="L32" s="9">
        <v>17.989999999999998</v>
      </c>
      <c r="M32" s="4" t="s">
        <v>2243</v>
      </c>
      <c r="N32" s="4" t="s">
        <v>2544</v>
      </c>
      <c r="O32" s="4" t="s">
        <v>2705</v>
      </c>
      <c r="P32" s="4" t="s">
        <v>2569</v>
      </c>
      <c r="Q32" s="4" t="s">
        <v>2570</v>
      </c>
      <c r="R32" s="4"/>
      <c r="S32" s="4"/>
      <c r="T32" s="4" t="str">
        <f>HYPERLINK("http://slimages.macys.com/is/image/MCY/20583422 ")</f>
        <v xml:space="preserve">http://slimages.macys.com/is/image/MCY/20583422 </v>
      </c>
    </row>
    <row r="33" spans="1:20" ht="15" customHeight="1" x14ac:dyDescent="0.25">
      <c r="A33" s="4" t="s">
        <v>2489</v>
      </c>
      <c r="B33" s="2" t="s">
        <v>2487</v>
      </c>
      <c r="C33" s="2" t="s">
        <v>2488</v>
      </c>
      <c r="D33" s="5" t="s">
        <v>2490</v>
      </c>
      <c r="E33" s="4" t="s">
        <v>2491</v>
      </c>
      <c r="F33" s="6">
        <v>14236763</v>
      </c>
      <c r="G33" s="3">
        <v>14236763</v>
      </c>
      <c r="H33" s="7">
        <v>762120123532</v>
      </c>
      <c r="I33" s="8" t="s">
        <v>1835</v>
      </c>
      <c r="J33" s="4">
        <v>1</v>
      </c>
      <c r="K33" s="9">
        <v>6.99</v>
      </c>
      <c r="L33" s="9">
        <v>6.99</v>
      </c>
      <c r="M33" s="4" t="s">
        <v>1794</v>
      </c>
      <c r="N33" s="4" t="s">
        <v>2561</v>
      </c>
      <c r="O33" s="4" t="s">
        <v>2566</v>
      </c>
      <c r="P33" s="4" t="s">
        <v>2503</v>
      </c>
      <c r="Q33" s="4" t="s">
        <v>2504</v>
      </c>
      <c r="R33" s="4"/>
      <c r="S33" s="4"/>
      <c r="T33" s="4" t="str">
        <f>HYPERLINK("http://slimages.macys.com/is/image/MCY/20385731 ")</f>
        <v xml:space="preserve">http://slimages.macys.com/is/image/MCY/20385731 </v>
      </c>
    </row>
    <row r="34" spans="1:20" ht="15" customHeight="1" x14ac:dyDescent="0.25">
      <c r="A34" s="4" t="s">
        <v>2489</v>
      </c>
      <c r="B34" s="2" t="s">
        <v>2487</v>
      </c>
      <c r="C34" s="2" t="s">
        <v>2488</v>
      </c>
      <c r="D34" s="5" t="s">
        <v>2490</v>
      </c>
      <c r="E34" s="4" t="s">
        <v>2491</v>
      </c>
      <c r="F34" s="6">
        <v>14236763</v>
      </c>
      <c r="G34" s="3">
        <v>14236763</v>
      </c>
      <c r="H34" s="7">
        <v>196027094822</v>
      </c>
      <c r="I34" s="8" t="s">
        <v>793</v>
      </c>
      <c r="J34" s="4">
        <v>1</v>
      </c>
      <c r="K34" s="9">
        <v>27.99</v>
      </c>
      <c r="L34" s="9">
        <v>27.99</v>
      </c>
      <c r="M34" s="4" t="s">
        <v>2952</v>
      </c>
      <c r="N34" s="4" t="s">
        <v>2544</v>
      </c>
      <c r="O34" s="4"/>
      <c r="P34" s="4" t="s">
        <v>2569</v>
      </c>
      <c r="Q34" s="4" t="s">
        <v>2755</v>
      </c>
      <c r="R34" s="4"/>
      <c r="S34" s="4"/>
      <c r="T34" s="4" t="str">
        <f>HYPERLINK("http://slimages.macys.com/is/image/MCY/20750203 ")</f>
        <v xml:space="preserve">http://slimages.macys.com/is/image/MCY/20750203 </v>
      </c>
    </row>
    <row r="35" spans="1:20" ht="15" customHeight="1" x14ac:dyDescent="0.25">
      <c r="A35" s="4" t="s">
        <v>2489</v>
      </c>
      <c r="B35" s="2" t="s">
        <v>2487</v>
      </c>
      <c r="C35" s="2" t="s">
        <v>2488</v>
      </c>
      <c r="D35" s="5" t="s">
        <v>2490</v>
      </c>
      <c r="E35" s="4" t="s">
        <v>2491</v>
      </c>
      <c r="F35" s="6">
        <v>14236763</v>
      </c>
      <c r="G35" s="3">
        <v>14236763</v>
      </c>
      <c r="H35" s="7">
        <v>195187390362</v>
      </c>
      <c r="I35" s="8" t="s">
        <v>794</v>
      </c>
      <c r="J35" s="4">
        <v>1</v>
      </c>
      <c r="K35" s="9">
        <v>10.99</v>
      </c>
      <c r="L35" s="9">
        <v>10.99</v>
      </c>
      <c r="M35" s="4" t="s">
        <v>795</v>
      </c>
      <c r="N35" s="4" t="s">
        <v>2682</v>
      </c>
      <c r="O35" s="4"/>
      <c r="P35" s="4" t="s">
        <v>2499</v>
      </c>
      <c r="Q35" s="4" t="s">
        <v>796</v>
      </c>
      <c r="R35" s="4"/>
      <c r="S35" s="4"/>
      <c r="T35" s="4" t="str">
        <f>HYPERLINK("http://slimages.macys.com/is/image/MCY/20064428 ")</f>
        <v xml:space="preserve">http://slimages.macys.com/is/image/MCY/20064428 </v>
      </c>
    </row>
    <row r="36" spans="1:20" ht="15" customHeight="1" x14ac:dyDescent="0.25">
      <c r="A36" s="4" t="s">
        <v>2489</v>
      </c>
      <c r="B36" s="2" t="s">
        <v>2487</v>
      </c>
      <c r="C36" s="2" t="s">
        <v>2488</v>
      </c>
      <c r="D36" s="5" t="s">
        <v>2490</v>
      </c>
      <c r="E36" s="4" t="s">
        <v>2491</v>
      </c>
      <c r="F36" s="6">
        <v>14236763</v>
      </c>
      <c r="G36" s="3">
        <v>14236763</v>
      </c>
      <c r="H36" s="7">
        <v>195883942209</v>
      </c>
      <c r="I36" s="8" t="s">
        <v>797</v>
      </c>
      <c r="J36" s="4">
        <v>1</v>
      </c>
      <c r="K36" s="9">
        <v>7.99</v>
      </c>
      <c r="L36" s="9">
        <v>7.99</v>
      </c>
      <c r="M36" s="4" t="s">
        <v>3105</v>
      </c>
      <c r="N36" s="4" t="s">
        <v>2497</v>
      </c>
      <c r="O36" s="4">
        <v>7</v>
      </c>
      <c r="P36" s="4" t="s">
        <v>2506</v>
      </c>
      <c r="Q36" s="4" t="s">
        <v>2527</v>
      </c>
      <c r="R36" s="4"/>
      <c r="S36" s="4"/>
      <c r="T36" s="4" t="str">
        <f>HYPERLINK("http://slimages.macys.com/is/image/MCY/20726226 ")</f>
        <v xml:space="preserve">http://slimages.macys.com/is/image/MCY/20726226 </v>
      </c>
    </row>
    <row r="37" spans="1:20" ht="15" customHeight="1" x14ac:dyDescent="0.25">
      <c r="A37" s="4" t="s">
        <v>2489</v>
      </c>
      <c r="B37" s="2" t="s">
        <v>2487</v>
      </c>
      <c r="C37" s="2" t="s">
        <v>2488</v>
      </c>
      <c r="D37" s="5" t="s">
        <v>2490</v>
      </c>
      <c r="E37" s="4" t="s">
        <v>2491</v>
      </c>
      <c r="F37" s="6">
        <v>14236763</v>
      </c>
      <c r="G37" s="3">
        <v>14236763</v>
      </c>
      <c r="H37" s="7">
        <v>195883922690</v>
      </c>
      <c r="I37" s="8" t="s">
        <v>798</v>
      </c>
      <c r="J37" s="4">
        <v>1</v>
      </c>
      <c r="K37" s="9">
        <v>8.31</v>
      </c>
      <c r="L37" s="9">
        <v>8.31</v>
      </c>
      <c r="M37" s="4" t="s">
        <v>3409</v>
      </c>
      <c r="N37" s="4" t="s">
        <v>2567</v>
      </c>
      <c r="O37" s="4">
        <v>4</v>
      </c>
      <c r="P37" s="4" t="s">
        <v>2506</v>
      </c>
      <c r="Q37" s="4" t="s">
        <v>2527</v>
      </c>
      <c r="R37" s="4"/>
      <c r="S37" s="4"/>
      <c r="T37" s="4" t="str">
        <f>HYPERLINK("http://slimages.macys.com/is/image/MCY/20905073 ")</f>
        <v xml:space="preserve">http://slimages.macys.com/is/image/MCY/20905073 </v>
      </c>
    </row>
    <row r="38" spans="1:20" ht="15" customHeight="1" x14ac:dyDescent="0.25">
      <c r="A38" s="4" t="s">
        <v>2489</v>
      </c>
      <c r="B38" s="2" t="s">
        <v>2487</v>
      </c>
      <c r="C38" s="2" t="s">
        <v>2488</v>
      </c>
      <c r="D38" s="5" t="s">
        <v>2490</v>
      </c>
      <c r="E38" s="4" t="s">
        <v>2491</v>
      </c>
      <c r="F38" s="6">
        <v>14236763</v>
      </c>
      <c r="G38" s="3">
        <v>14236763</v>
      </c>
      <c r="H38" s="7">
        <v>733004958540</v>
      </c>
      <c r="I38" s="8" t="s">
        <v>799</v>
      </c>
      <c r="J38" s="4">
        <v>1</v>
      </c>
      <c r="K38" s="9">
        <v>21.99</v>
      </c>
      <c r="L38" s="9">
        <v>21.99</v>
      </c>
      <c r="M38" s="4" t="s">
        <v>800</v>
      </c>
      <c r="N38" s="4" t="s">
        <v>2531</v>
      </c>
      <c r="O38" s="4" t="s">
        <v>2493</v>
      </c>
      <c r="P38" s="4" t="s">
        <v>2503</v>
      </c>
      <c r="Q38" s="4" t="s">
        <v>2504</v>
      </c>
      <c r="R38" s="4"/>
      <c r="S38" s="4"/>
      <c r="T38" s="4" t="str">
        <f>HYPERLINK("http://slimages.macys.com/is/image/MCY/1043865 ")</f>
        <v xml:space="preserve">http://slimages.macys.com/is/image/MCY/1043865 </v>
      </c>
    </row>
    <row r="39" spans="1:20" ht="15" customHeight="1" x14ac:dyDescent="0.25">
      <c r="A39" s="4" t="s">
        <v>2489</v>
      </c>
      <c r="B39" s="2" t="s">
        <v>2487</v>
      </c>
      <c r="C39" s="2" t="s">
        <v>2488</v>
      </c>
      <c r="D39" s="5" t="s">
        <v>2490</v>
      </c>
      <c r="E39" s="4" t="s">
        <v>2491</v>
      </c>
      <c r="F39" s="6">
        <v>14236763</v>
      </c>
      <c r="G39" s="3">
        <v>14236763</v>
      </c>
      <c r="H39" s="7">
        <v>195883380582</v>
      </c>
      <c r="I39" s="8" t="s">
        <v>2745</v>
      </c>
      <c r="J39" s="4">
        <v>1</v>
      </c>
      <c r="K39" s="9">
        <v>8.99</v>
      </c>
      <c r="L39" s="9">
        <v>8.99</v>
      </c>
      <c r="M39" s="4" t="s">
        <v>2744</v>
      </c>
      <c r="N39" s="4" t="s">
        <v>2526</v>
      </c>
      <c r="O39" s="4">
        <v>4</v>
      </c>
      <c r="P39" s="4" t="s">
        <v>2506</v>
      </c>
      <c r="Q39" s="4" t="s">
        <v>2527</v>
      </c>
      <c r="R39" s="4"/>
      <c r="S39" s="4"/>
      <c r="T39" s="4" t="str">
        <f>HYPERLINK("http://slimages.macys.com/is/image/MCY/20192073 ")</f>
        <v xml:space="preserve">http://slimages.macys.com/is/image/MCY/20192073 </v>
      </c>
    </row>
    <row r="40" spans="1:20" ht="15" customHeight="1" x14ac:dyDescent="0.25">
      <c r="A40" s="4" t="s">
        <v>2489</v>
      </c>
      <c r="B40" s="2" t="s">
        <v>2487</v>
      </c>
      <c r="C40" s="2" t="s">
        <v>2488</v>
      </c>
      <c r="D40" s="5" t="s">
        <v>2490</v>
      </c>
      <c r="E40" s="4" t="s">
        <v>2491</v>
      </c>
      <c r="F40" s="6">
        <v>14236763</v>
      </c>
      <c r="G40" s="3">
        <v>14236763</v>
      </c>
      <c r="H40" s="7">
        <v>733003926144</v>
      </c>
      <c r="I40" s="8" t="s">
        <v>801</v>
      </c>
      <c r="J40" s="4">
        <v>1</v>
      </c>
      <c r="K40" s="9">
        <v>6.99</v>
      </c>
      <c r="L40" s="9">
        <v>6.99</v>
      </c>
      <c r="M40" s="4" t="s">
        <v>2610</v>
      </c>
      <c r="N40" s="4" t="s">
        <v>2611</v>
      </c>
      <c r="O40" s="4" t="s">
        <v>2502</v>
      </c>
      <c r="P40" s="4" t="s">
        <v>2503</v>
      </c>
      <c r="Q40" s="4" t="s">
        <v>2504</v>
      </c>
      <c r="R40" s="4"/>
      <c r="S40" s="4"/>
      <c r="T40" s="4" t="str">
        <f>HYPERLINK("http://slimages.macys.com/is/image/MCY/17656375 ")</f>
        <v xml:space="preserve">http://slimages.macys.com/is/image/MCY/17656375 </v>
      </c>
    </row>
    <row r="41" spans="1:20" ht="15" customHeight="1" x14ac:dyDescent="0.25">
      <c r="A41" s="4" t="s">
        <v>2489</v>
      </c>
      <c r="B41" s="2" t="s">
        <v>2487</v>
      </c>
      <c r="C41" s="2" t="s">
        <v>2488</v>
      </c>
      <c r="D41" s="5" t="s">
        <v>2490</v>
      </c>
      <c r="E41" s="4" t="s">
        <v>2491</v>
      </c>
      <c r="F41" s="6">
        <v>14236763</v>
      </c>
      <c r="G41" s="3">
        <v>14236763</v>
      </c>
      <c r="H41" s="7">
        <v>733002993345</v>
      </c>
      <c r="I41" s="8" t="s">
        <v>802</v>
      </c>
      <c r="J41" s="4">
        <v>1</v>
      </c>
      <c r="K41" s="9">
        <v>12.99</v>
      </c>
      <c r="L41" s="9">
        <v>12.99</v>
      </c>
      <c r="M41" s="4" t="s">
        <v>2089</v>
      </c>
      <c r="N41" s="4" t="s">
        <v>2561</v>
      </c>
      <c r="O41" s="4" t="s">
        <v>2601</v>
      </c>
      <c r="P41" s="4" t="s">
        <v>2503</v>
      </c>
      <c r="Q41" s="4" t="s">
        <v>2504</v>
      </c>
      <c r="R41" s="4"/>
      <c r="S41" s="4"/>
      <c r="T41" s="4" t="str">
        <f>HYPERLINK("http://slimages.macys.com/is/image/MCY/19042342 ")</f>
        <v xml:space="preserve">http://slimages.macys.com/is/image/MCY/19042342 </v>
      </c>
    </row>
    <row r="42" spans="1:20" ht="15" customHeight="1" x14ac:dyDescent="0.25">
      <c r="A42" s="4" t="s">
        <v>2489</v>
      </c>
      <c r="B42" s="2" t="s">
        <v>2487</v>
      </c>
      <c r="C42" s="2" t="s">
        <v>2488</v>
      </c>
      <c r="D42" s="5" t="s">
        <v>2490</v>
      </c>
      <c r="E42" s="4" t="s">
        <v>2491</v>
      </c>
      <c r="F42" s="6">
        <v>14236763</v>
      </c>
      <c r="G42" s="3">
        <v>14236763</v>
      </c>
      <c r="H42" s="7">
        <v>762120084567</v>
      </c>
      <c r="I42" s="8" t="s">
        <v>803</v>
      </c>
      <c r="J42" s="4">
        <v>1</v>
      </c>
      <c r="K42" s="9">
        <v>7.99</v>
      </c>
      <c r="L42" s="9">
        <v>7.99</v>
      </c>
      <c r="M42" s="4" t="s">
        <v>2858</v>
      </c>
      <c r="N42" s="4" t="s">
        <v>2530</v>
      </c>
      <c r="O42" s="4" t="s">
        <v>2650</v>
      </c>
      <c r="P42" s="4" t="s">
        <v>2602</v>
      </c>
      <c r="Q42" s="4" t="s">
        <v>2528</v>
      </c>
      <c r="R42" s="4"/>
      <c r="S42" s="4"/>
      <c r="T42" s="4" t="str">
        <f>HYPERLINK("http://slimages.macys.com/is/image/MCY/20691772 ")</f>
        <v xml:space="preserve">http://slimages.macys.com/is/image/MCY/20691772 </v>
      </c>
    </row>
    <row r="43" spans="1:20" ht="15" customHeight="1" x14ac:dyDescent="0.25">
      <c r="A43" s="4" t="s">
        <v>2489</v>
      </c>
      <c r="B43" s="2" t="s">
        <v>2487</v>
      </c>
      <c r="C43" s="2" t="s">
        <v>2488</v>
      </c>
      <c r="D43" s="5" t="s">
        <v>2490</v>
      </c>
      <c r="E43" s="4" t="s">
        <v>2491</v>
      </c>
      <c r="F43" s="6">
        <v>14236763</v>
      </c>
      <c r="G43" s="3">
        <v>14236763</v>
      </c>
      <c r="H43" s="7">
        <v>733004294693</v>
      </c>
      <c r="I43" s="8" t="s">
        <v>1542</v>
      </c>
      <c r="J43" s="4">
        <v>1</v>
      </c>
      <c r="K43" s="9">
        <v>19.989999999999998</v>
      </c>
      <c r="L43" s="9">
        <v>19.989999999999998</v>
      </c>
      <c r="M43" s="4" t="s">
        <v>3008</v>
      </c>
      <c r="N43" s="4" t="s">
        <v>2531</v>
      </c>
      <c r="O43" s="4"/>
      <c r="P43" s="4" t="s">
        <v>2503</v>
      </c>
      <c r="Q43" s="4" t="s">
        <v>2504</v>
      </c>
      <c r="R43" s="4"/>
      <c r="S43" s="4"/>
      <c r="T43" s="4" t="str">
        <f>HYPERLINK("http://slimages.macys.com/is/image/MCY/19754689 ")</f>
        <v xml:space="preserve">http://slimages.macys.com/is/image/MCY/19754689 </v>
      </c>
    </row>
    <row r="44" spans="1:20" ht="15" customHeight="1" x14ac:dyDescent="0.25">
      <c r="A44" s="4" t="s">
        <v>2489</v>
      </c>
      <c r="B44" s="2" t="s">
        <v>2487</v>
      </c>
      <c r="C44" s="2" t="s">
        <v>2488</v>
      </c>
      <c r="D44" s="5" t="s">
        <v>2490</v>
      </c>
      <c r="E44" s="4" t="s">
        <v>2491</v>
      </c>
      <c r="F44" s="6">
        <v>14236763</v>
      </c>
      <c r="G44" s="3">
        <v>14236763</v>
      </c>
      <c r="H44" s="7">
        <v>733004741166</v>
      </c>
      <c r="I44" s="8" t="s">
        <v>804</v>
      </c>
      <c r="J44" s="4">
        <v>1</v>
      </c>
      <c r="K44" s="9">
        <v>5.99</v>
      </c>
      <c r="L44" s="9">
        <v>5.99</v>
      </c>
      <c r="M44" s="4" t="s">
        <v>805</v>
      </c>
      <c r="N44" s="4" t="s">
        <v>2561</v>
      </c>
      <c r="O44" s="4" t="s">
        <v>2601</v>
      </c>
      <c r="P44" s="4" t="s">
        <v>2503</v>
      </c>
      <c r="Q44" s="4" t="s">
        <v>2504</v>
      </c>
      <c r="R44" s="4"/>
      <c r="S44" s="4"/>
      <c r="T44" s="4" t="str">
        <f>HYPERLINK("http://slimages.macys.com/is/image/MCY/19977786 ")</f>
        <v xml:space="preserve">http://slimages.macys.com/is/image/MCY/19977786 </v>
      </c>
    </row>
    <row r="45" spans="1:20" ht="15" customHeight="1" x14ac:dyDescent="0.25">
      <c r="A45" s="4" t="s">
        <v>2489</v>
      </c>
      <c r="B45" s="2" t="s">
        <v>2487</v>
      </c>
      <c r="C45" s="2" t="s">
        <v>2488</v>
      </c>
      <c r="D45" s="5" t="s">
        <v>2490</v>
      </c>
      <c r="E45" s="4" t="s">
        <v>2491</v>
      </c>
      <c r="F45" s="6">
        <v>14236763</v>
      </c>
      <c r="G45" s="3">
        <v>14236763</v>
      </c>
      <c r="H45" s="7">
        <v>733004293856</v>
      </c>
      <c r="I45" s="8" t="s">
        <v>1349</v>
      </c>
      <c r="J45" s="4">
        <v>1</v>
      </c>
      <c r="K45" s="9">
        <v>13.99</v>
      </c>
      <c r="L45" s="9">
        <v>13.99</v>
      </c>
      <c r="M45" s="4" t="s">
        <v>1267</v>
      </c>
      <c r="N45" s="4" t="s">
        <v>2600</v>
      </c>
      <c r="O45" s="4"/>
      <c r="P45" s="4" t="s">
        <v>2503</v>
      </c>
      <c r="Q45" s="4" t="s">
        <v>2504</v>
      </c>
      <c r="R45" s="4"/>
      <c r="S45" s="4"/>
      <c r="T45" s="4" t="str">
        <f>HYPERLINK("http://slimages.macys.com/is/image/MCY/19754215 ")</f>
        <v xml:space="preserve">http://slimages.macys.com/is/image/MCY/19754215 </v>
      </c>
    </row>
    <row r="46" spans="1:20" ht="15" customHeight="1" x14ac:dyDescent="0.25">
      <c r="A46" s="4" t="s">
        <v>2489</v>
      </c>
      <c r="B46" s="2" t="s">
        <v>2487</v>
      </c>
      <c r="C46" s="2" t="s">
        <v>2488</v>
      </c>
      <c r="D46" s="5" t="s">
        <v>2490</v>
      </c>
      <c r="E46" s="4" t="s">
        <v>2491</v>
      </c>
      <c r="F46" s="6">
        <v>14236763</v>
      </c>
      <c r="G46" s="3">
        <v>14236763</v>
      </c>
      <c r="H46" s="7">
        <v>762120121774</v>
      </c>
      <c r="I46" s="8" t="s">
        <v>806</v>
      </c>
      <c r="J46" s="4">
        <v>1</v>
      </c>
      <c r="K46" s="9">
        <v>5.99</v>
      </c>
      <c r="L46" s="9">
        <v>5.99</v>
      </c>
      <c r="M46" s="4" t="s">
        <v>2926</v>
      </c>
      <c r="N46" s="4" t="s">
        <v>2600</v>
      </c>
      <c r="O46" s="4" t="s">
        <v>2559</v>
      </c>
      <c r="P46" s="4" t="s">
        <v>2503</v>
      </c>
      <c r="Q46" s="4" t="s">
        <v>2504</v>
      </c>
      <c r="R46" s="4"/>
      <c r="S46" s="4"/>
      <c r="T46" s="4" t="str">
        <f>HYPERLINK("http://slimages.macys.com/is/image/MCY/20386376 ")</f>
        <v xml:space="preserve">http://slimages.macys.com/is/image/MCY/20386376 </v>
      </c>
    </row>
    <row r="47" spans="1:20" ht="15" customHeight="1" x14ac:dyDescent="0.25">
      <c r="A47" s="4" t="s">
        <v>2489</v>
      </c>
      <c r="B47" s="2" t="s">
        <v>2487</v>
      </c>
      <c r="C47" s="2" t="s">
        <v>2488</v>
      </c>
      <c r="D47" s="5" t="s">
        <v>2490</v>
      </c>
      <c r="E47" s="4" t="s">
        <v>2491</v>
      </c>
      <c r="F47" s="6">
        <v>14236763</v>
      </c>
      <c r="G47" s="3">
        <v>14236763</v>
      </c>
      <c r="H47" s="7">
        <v>733004738340</v>
      </c>
      <c r="I47" s="8" t="s">
        <v>2782</v>
      </c>
      <c r="J47" s="4">
        <v>5</v>
      </c>
      <c r="K47" s="9">
        <v>6.99</v>
      </c>
      <c r="L47" s="9">
        <v>34.950000000000003</v>
      </c>
      <c r="M47" s="4" t="s">
        <v>2783</v>
      </c>
      <c r="N47" s="4" t="s">
        <v>2501</v>
      </c>
      <c r="O47" s="4" t="s">
        <v>2502</v>
      </c>
      <c r="P47" s="4" t="s">
        <v>2503</v>
      </c>
      <c r="Q47" s="4" t="s">
        <v>2504</v>
      </c>
      <c r="R47" s="4"/>
      <c r="S47" s="4"/>
      <c r="T47" s="4" t="str">
        <f>HYPERLINK("http://slimages.macys.com/is/image/MCY/19977723 ")</f>
        <v xml:space="preserve">http://slimages.macys.com/is/image/MCY/19977723 </v>
      </c>
    </row>
    <row r="48" spans="1:20" ht="15" customHeight="1" x14ac:dyDescent="0.25">
      <c r="A48" s="4" t="s">
        <v>2489</v>
      </c>
      <c r="B48" s="2" t="s">
        <v>2487</v>
      </c>
      <c r="C48" s="2" t="s">
        <v>2488</v>
      </c>
      <c r="D48" s="5" t="s">
        <v>2490</v>
      </c>
      <c r="E48" s="4" t="s">
        <v>2491</v>
      </c>
      <c r="F48" s="6">
        <v>14236763</v>
      </c>
      <c r="G48" s="3">
        <v>14236763</v>
      </c>
      <c r="H48" s="7">
        <v>733004738333</v>
      </c>
      <c r="I48" s="8" t="s">
        <v>2017</v>
      </c>
      <c r="J48" s="4">
        <v>2</v>
      </c>
      <c r="K48" s="9">
        <v>6.99</v>
      </c>
      <c r="L48" s="9">
        <v>13.98</v>
      </c>
      <c r="M48" s="4" t="s">
        <v>2783</v>
      </c>
      <c r="N48" s="4" t="s">
        <v>2501</v>
      </c>
      <c r="O48" s="4" t="s">
        <v>2493</v>
      </c>
      <c r="P48" s="4" t="s">
        <v>2503</v>
      </c>
      <c r="Q48" s="4" t="s">
        <v>2504</v>
      </c>
      <c r="R48" s="4"/>
      <c r="S48" s="4"/>
      <c r="T48" s="4" t="str">
        <f>HYPERLINK("http://slimages.macys.com/is/image/MCY/19977723 ")</f>
        <v xml:space="preserve">http://slimages.macys.com/is/image/MCY/19977723 </v>
      </c>
    </row>
    <row r="49" spans="1:20" ht="15" customHeight="1" x14ac:dyDescent="0.25">
      <c r="A49" s="4" t="s">
        <v>2489</v>
      </c>
      <c r="B49" s="2" t="s">
        <v>2487</v>
      </c>
      <c r="C49" s="2" t="s">
        <v>2488</v>
      </c>
      <c r="D49" s="5" t="s">
        <v>2490</v>
      </c>
      <c r="E49" s="4" t="s">
        <v>2491</v>
      </c>
      <c r="F49" s="6">
        <v>14236763</v>
      </c>
      <c r="G49" s="3">
        <v>14236763</v>
      </c>
      <c r="H49" s="7">
        <v>733004741135</v>
      </c>
      <c r="I49" s="8" t="s">
        <v>807</v>
      </c>
      <c r="J49" s="4">
        <v>1</v>
      </c>
      <c r="K49" s="9">
        <v>5.99</v>
      </c>
      <c r="L49" s="9">
        <v>5.99</v>
      </c>
      <c r="M49" s="4" t="s">
        <v>808</v>
      </c>
      <c r="N49" s="4" t="s">
        <v>2638</v>
      </c>
      <c r="O49" s="4" t="s">
        <v>2493</v>
      </c>
      <c r="P49" s="4" t="s">
        <v>2503</v>
      </c>
      <c r="Q49" s="4" t="s">
        <v>2504</v>
      </c>
      <c r="R49" s="4"/>
      <c r="S49" s="4"/>
      <c r="T49" s="4" t="str">
        <f>HYPERLINK("http://slimages.macys.com/is/image/MCY/19977822 ")</f>
        <v xml:space="preserve">http://slimages.macys.com/is/image/MCY/19977822 </v>
      </c>
    </row>
    <row r="50" spans="1:20" ht="15" customHeight="1" x14ac:dyDescent="0.25">
      <c r="A50" s="4" t="s">
        <v>2489</v>
      </c>
      <c r="B50" s="2" t="s">
        <v>2487</v>
      </c>
      <c r="C50" s="2" t="s">
        <v>2488</v>
      </c>
      <c r="D50" s="5" t="s">
        <v>2490</v>
      </c>
      <c r="E50" s="4" t="s">
        <v>2491</v>
      </c>
      <c r="F50" s="6">
        <v>14236763</v>
      </c>
      <c r="G50" s="3">
        <v>14236763</v>
      </c>
      <c r="H50" s="7">
        <v>733004739866</v>
      </c>
      <c r="I50" s="8" t="s">
        <v>3426</v>
      </c>
      <c r="J50" s="4">
        <v>1</v>
      </c>
      <c r="K50" s="9">
        <v>5.99</v>
      </c>
      <c r="L50" s="9">
        <v>5.99</v>
      </c>
      <c r="M50" s="4" t="s">
        <v>3421</v>
      </c>
      <c r="N50" s="4" t="s">
        <v>2638</v>
      </c>
      <c r="O50" s="4" t="s">
        <v>2566</v>
      </c>
      <c r="P50" s="4" t="s">
        <v>2503</v>
      </c>
      <c r="Q50" s="4" t="s">
        <v>2504</v>
      </c>
      <c r="R50" s="4"/>
      <c r="S50" s="4"/>
      <c r="T50" s="4" t="str">
        <f>HYPERLINK("http://slimages.macys.com/is/image/MCY/19977818 ")</f>
        <v xml:space="preserve">http://slimages.macys.com/is/image/MCY/19977818 </v>
      </c>
    </row>
    <row r="51" spans="1:20" ht="15" customHeight="1" x14ac:dyDescent="0.25">
      <c r="A51" s="4" t="s">
        <v>2489</v>
      </c>
      <c r="B51" s="2" t="s">
        <v>2487</v>
      </c>
      <c r="C51" s="2" t="s">
        <v>2488</v>
      </c>
      <c r="D51" s="5" t="s">
        <v>2490</v>
      </c>
      <c r="E51" s="4" t="s">
        <v>2491</v>
      </c>
      <c r="F51" s="6">
        <v>14236763</v>
      </c>
      <c r="G51" s="3">
        <v>14236763</v>
      </c>
      <c r="H51" s="7">
        <v>762120022934</v>
      </c>
      <c r="I51" s="8" t="s">
        <v>2378</v>
      </c>
      <c r="J51" s="4">
        <v>2</v>
      </c>
      <c r="K51" s="9">
        <v>7.99</v>
      </c>
      <c r="L51" s="9">
        <v>15.98</v>
      </c>
      <c r="M51" s="4" t="s">
        <v>2337</v>
      </c>
      <c r="N51" s="4" t="s">
        <v>2518</v>
      </c>
      <c r="O51" s="4" t="s">
        <v>2650</v>
      </c>
      <c r="P51" s="4" t="s">
        <v>2503</v>
      </c>
      <c r="Q51" s="4" t="s">
        <v>2504</v>
      </c>
      <c r="R51" s="4"/>
      <c r="S51" s="4"/>
      <c r="T51" s="4" t="str">
        <f>HYPERLINK("http://slimages.macys.com/is/image/MCY/19977730 ")</f>
        <v xml:space="preserve">http://slimages.macys.com/is/image/MCY/19977730 </v>
      </c>
    </row>
    <row r="52" spans="1:20" ht="15" customHeight="1" x14ac:dyDescent="0.25">
      <c r="A52" s="4" t="s">
        <v>2489</v>
      </c>
      <c r="B52" s="2" t="s">
        <v>2487</v>
      </c>
      <c r="C52" s="2" t="s">
        <v>2488</v>
      </c>
      <c r="D52" s="5" t="s">
        <v>2490</v>
      </c>
      <c r="E52" s="4" t="s">
        <v>2491</v>
      </c>
      <c r="F52" s="6">
        <v>14236763</v>
      </c>
      <c r="G52" s="3">
        <v>14236763</v>
      </c>
      <c r="H52" s="7">
        <v>733004952876</v>
      </c>
      <c r="I52" s="8" t="s">
        <v>809</v>
      </c>
      <c r="J52" s="4">
        <v>1</v>
      </c>
      <c r="K52" s="9">
        <v>13.99</v>
      </c>
      <c r="L52" s="9">
        <v>13.99</v>
      </c>
      <c r="M52" s="4" t="s">
        <v>2698</v>
      </c>
      <c r="N52" s="4" t="s">
        <v>2501</v>
      </c>
      <c r="O52" s="4" t="s">
        <v>2559</v>
      </c>
      <c r="P52" s="4" t="s">
        <v>2503</v>
      </c>
      <c r="Q52" s="4" t="s">
        <v>2504</v>
      </c>
      <c r="R52" s="4"/>
      <c r="S52" s="4"/>
      <c r="T52" s="4" t="str">
        <f>HYPERLINK("http://slimages.macys.com/is/image/MCY/20142527 ")</f>
        <v xml:space="preserve">http://slimages.macys.com/is/image/MCY/20142527 </v>
      </c>
    </row>
    <row r="53" spans="1:20" ht="15" customHeight="1" x14ac:dyDescent="0.25">
      <c r="A53" s="4" t="s">
        <v>2489</v>
      </c>
      <c r="B53" s="2" t="s">
        <v>2487</v>
      </c>
      <c r="C53" s="2" t="s">
        <v>2488</v>
      </c>
      <c r="D53" s="5" t="s">
        <v>2490</v>
      </c>
      <c r="E53" s="4" t="s">
        <v>2491</v>
      </c>
      <c r="F53" s="6">
        <v>14236763</v>
      </c>
      <c r="G53" s="3">
        <v>14236763</v>
      </c>
      <c r="H53" s="7">
        <v>733003804985</v>
      </c>
      <c r="I53" s="8" t="s">
        <v>3446</v>
      </c>
      <c r="J53" s="4">
        <v>1</v>
      </c>
      <c r="K53" s="9">
        <v>5.99</v>
      </c>
      <c r="L53" s="9">
        <v>5.99</v>
      </c>
      <c r="M53" s="4" t="s">
        <v>3232</v>
      </c>
      <c r="N53" s="4" t="s">
        <v>2682</v>
      </c>
      <c r="O53" s="4">
        <v>5</v>
      </c>
      <c r="P53" s="4" t="s">
        <v>2520</v>
      </c>
      <c r="Q53" s="4" t="s">
        <v>2528</v>
      </c>
      <c r="R53" s="4"/>
      <c r="S53" s="4"/>
      <c r="T53" s="4" t="str">
        <f>HYPERLINK("http://slimages.macys.com/is/image/MCY/19239511 ")</f>
        <v xml:space="preserve">http://slimages.macys.com/is/image/MCY/19239511 </v>
      </c>
    </row>
    <row r="54" spans="1:20" ht="15" customHeight="1" x14ac:dyDescent="0.25">
      <c r="A54" s="4" t="s">
        <v>2489</v>
      </c>
      <c r="B54" s="2" t="s">
        <v>2487</v>
      </c>
      <c r="C54" s="2" t="s">
        <v>2488</v>
      </c>
      <c r="D54" s="5" t="s">
        <v>2490</v>
      </c>
      <c r="E54" s="4" t="s">
        <v>2491</v>
      </c>
      <c r="F54" s="6">
        <v>14236763</v>
      </c>
      <c r="G54" s="3">
        <v>14236763</v>
      </c>
      <c r="H54" s="7">
        <v>194257388087</v>
      </c>
      <c r="I54" s="8" t="s">
        <v>810</v>
      </c>
      <c r="J54" s="4">
        <v>1</v>
      </c>
      <c r="K54" s="9">
        <v>7.99</v>
      </c>
      <c r="L54" s="9">
        <v>7.99</v>
      </c>
      <c r="M54" s="4" t="s">
        <v>2496</v>
      </c>
      <c r="N54" s="4" t="s">
        <v>2501</v>
      </c>
      <c r="O54" s="4" t="s">
        <v>2519</v>
      </c>
      <c r="P54" s="4" t="s">
        <v>2499</v>
      </c>
      <c r="Q54" s="4" t="s">
        <v>2500</v>
      </c>
      <c r="R54" s="4"/>
      <c r="S54" s="4"/>
      <c r="T54" s="4" t="str">
        <f>HYPERLINK("http://slimages.macys.com/is/image/MCY/19933400 ")</f>
        <v xml:space="preserve">http://slimages.macys.com/is/image/MCY/19933400 </v>
      </c>
    </row>
    <row r="55" spans="1:20" ht="15" customHeight="1" x14ac:dyDescent="0.25">
      <c r="A55" s="4" t="s">
        <v>2489</v>
      </c>
      <c r="B55" s="2" t="s">
        <v>2487</v>
      </c>
      <c r="C55" s="2" t="s">
        <v>2488</v>
      </c>
      <c r="D55" s="5" t="s">
        <v>2490</v>
      </c>
      <c r="E55" s="4" t="s">
        <v>2491</v>
      </c>
      <c r="F55" s="6">
        <v>14236763</v>
      </c>
      <c r="G55" s="3">
        <v>14236763</v>
      </c>
      <c r="H55" s="7">
        <v>194753977303</v>
      </c>
      <c r="I55" s="8" t="s">
        <v>811</v>
      </c>
      <c r="J55" s="4">
        <v>1</v>
      </c>
      <c r="K55" s="9">
        <v>59.5</v>
      </c>
      <c r="L55" s="9">
        <v>59.5</v>
      </c>
      <c r="M55" s="4" t="s">
        <v>3007</v>
      </c>
      <c r="N55" s="4" t="s">
        <v>2565</v>
      </c>
      <c r="O55" s="4">
        <v>8</v>
      </c>
      <c r="P55" s="4" t="s">
        <v>2556</v>
      </c>
      <c r="Q55" s="4" t="s">
        <v>2946</v>
      </c>
      <c r="R55" s="4"/>
      <c r="S55" s="4"/>
      <c r="T55" s="4" t="str">
        <f>HYPERLINK("http://slimages.macys.com/is/image/MCY/20719902 ")</f>
        <v xml:space="preserve">http://slimages.macys.com/is/image/MCY/20719902 </v>
      </c>
    </row>
    <row r="56" spans="1:20" ht="15" customHeight="1" x14ac:dyDescent="0.25">
      <c r="A56" s="4" t="s">
        <v>2489</v>
      </c>
      <c r="B56" s="2" t="s">
        <v>2487</v>
      </c>
      <c r="C56" s="2" t="s">
        <v>2488</v>
      </c>
      <c r="D56" s="5" t="s">
        <v>2490</v>
      </c>
      <c r="E56" s="4" t="s">
        <v>2491</v>
      </c>
      <c r="F56" s="6">
        <v>14236763</v>
      </c>
      <c r="G56" s="3">
        <v>14236763</v>
      </c>
      <c r="H56" s="7">
        <v>885031527753</v>
      </c>
      <c r="I56" s="8" t="s">
        <v>812</v>
      </c>
      <c r="J56" s="4">
        <v>1</v>
      </c>
      <c r="K56" s="9">
        <v>65</v>
      </c>
      <c r="L56" s="9">
        <v>65</v>
      </c>
      <c r="M56" s="4">
        <v>323858715002</v>
      </c>
      <c r="N56" s="4" t="s">
        <v>2731</v>
      </c>
      <c r="O56" s="4" t="s">
        <v>2498</v>
      </c>
      <c r="P56" s="4" t="s">
        <v>2615</v>
      </c>
      <c r="Q56" s="4" t="s">
        <v>2616</v>
      </c>
      <c r="R56" s="4"/>
      <c r="S56" s="4"/>
      <c r="T56" s="4" t="str">
        <f>HYPERLINK("http://slimages.macys.com/is/image/MCY/20654620 ")</f>
        <v xml:space="preserve">http://slimages.macys.com/is/image/MCY/20654620 </v>
      </c>
    </row>
    <row r="57" spans="1:20" ht="15" customHeight="1" x14ac:dyDescent="0.25">
      <c r="A57" s="4" t="s">
        <v>2489</v>
      </c>
      <c r="B57" s="2" t="s">
        <v>2487</v>
      </c>
      <c r="C57" s="2" t="s">
        <v>2488</v>
      </c>
      <c r="D57" s="5" t="s">
        <v>2490</v>
      </c>
      <c r="E57" s="4" t="s">
        <v>2491</v>
      </c>
      <c r="F57" s="6">
        <v>14236763</v>
      </c>
      <c r="G57" s="3">
        <v>14236763</v>
      </c>
      <c r="H57" s="7">
        <v>733004748554</v>
      </c>
      <c r="I57" s="8" t="s">
        <v>2286</v>
      </c>
      <c r="J57" s="4">
        <v>1</v>
      </c>
      <c r="K57" s="9">
        <v>7.99</v>
      </c>
      <c r="L57" s="9">
        <v>7.99</v>
      </c>
      <c r="M57" s="4" t="s">
        <v>2287</v>
      </c>
      <c r="N57" s="4" t="s">
        <v>2505</v>
      </c>
      <c r="O57" s="4" t="s">
        <v>2629</v>
      </c>
      <c r="P57" s="4" t="s">
        <v>2503</v>
      </c>
      <c r="Q57" s="4" t="s">
        <v>2504</v>
      </c>
      <c r="R57" s="4"/>
      <c r="S57" s="4"/>
      <c r="T57" s="4" t="str">
        <f>HYPERLINK("http://slimages.macys.com/is/image/MCY/19977352 ")</f>
        <v xml:space="preserve">http://slimages.macys.com/is/image/MCY/19977352 </v>
      </c>
    </row>
    <row r="58" spans="1:20" ht="15" customHeight="1" x14ac:dyDescent="0.25">
      <c r="A58" s="4" t="s">
        <v>2489</v>
      </c>
      <c r="B58" s="2" t="s">
        <v>2487</v>
      </c>
      <c r="C58" s="2" t="s">
        <v>2488</v>
      </c>
      <c r="D58" s="5" t="s">
        <v>2490</v>
      </c>
      <c r="E58" s="4" t="s">
        <v>2491</v>
      </c>
      <c r="F58" s="6">
        <v>14236763</v>
      </c>
      <c r="G58" s="3">
        <v>14236763</v>
      </c>
      <c r="H58" s="7">
        <v>733004764684</v>
      </c>
      <c r="I58" s="8" t="s">
        <v>813</v>
      </c>
      <c r="J58" s="4">
        <v>1</v>
      </c>
      <c r="K58" s="9">
        <v>21.99</v>
      </c>
      <c r="L58" s="9">
        <v>21.99</v>
      </c>
      <c r="M58" s="4" t="s">
        <v>784</v>
      </c>
      <c r="N58" s="4" t="s">
        <v>2665</v>
      </c>
      <c r="O58" s="4" t="s">
        <v>2498</v>
      </c>
      <c r="P58" s="4" t="s">
        <v>2515</v>
      </c>
      <c r="Q58" s="4" t="s">
        <v>2672</v>
      </c>
      <c r="R58" s="4"/>
      <c r="S58" s="4"/>
      <c r="T58" s="4" t="str">
        <f>HYPERLINK("http://slimages.macys.com/is/image/MCY/20530839 ")</f>
        <v xml:space="preserve">http://slimages.macys.com/is/image/MCY/20530839 </v>
      </c>
    </row>
    <row r="59" spans="1:20" ht="15" customHeight="1" x14ac:dyDescent="0.25">
      <c r="A59" s="4" t="s">
        <v>2489</v>
      </c>
      <c r="B59" s="2" t="s">
        <v>2487</v>
      </c>
      <c r="C59" s="2" t="s">
        <v>2488</v>
      </c>
      <c r="D59" s="5" t="s">
        <v>2490</v>
      </c>
      <c r="E59" s="4" t="s">
        <v>2491</v>
      </c>
      <c r="F59" s="6">
        <v>14236763</v>
      </c>
      <c r="G59" s="3">
        <v>14236763</v>
      </c>
      <c r="H59" s="7">
        <v>194257610560</v>
      </c>
      <c r="I59" s="8" t="s">
        <v>2432</v>
      </c>
      <c r="J59" s="4">
        <v>1</v>
      </c>
      <c r="K59" s="9">
        <v>21.99</v>
      </c>
      <c r="L59" s="9">
        <v>21.99</v>
      </c>
      <c r="M59" s="4" t="s">
        <v>2433</v>
      </c>
      <c r="N59" s="4" t="s">
        <v>2505</v>
      </c>
      <c r="O59" s="4" t="s">
        <v>2532</v>
      </c>
      <c r="P59" s="4" t="s">
        <v>2499</v>
      </c>
      <c r="Q59" s="4" t="s">
        <v>2500</v>
      </c>
      <c r="R59" s="4"/>
      <c r="S59" s="4"/>
      <c r="T59" s="4" t="str">
        <f>HYPERLINK("http://slimages.macys.com/is/image/MCY/20475165 ")</f>
        <v xml:space="preserve">http://slimages.macys.com/is/image/MCY/20475165 </v>
      </c>
    </row>
    <row r="60" spans="1:20" ht="15" customHeight="1" x14ac:dyDescent="0.25">
      <c r="A60" s="4" t="s">
        <v>2489</v>
      </c>
      <c r="B60" s="2" t="s">
        <v>2487</v>
      </c>
      <c r="C60" s="2" t="s">
        <v>2488</v>
      </c>
      <c r="D60" s="5" t="s">
        <v>2490</v>
      </c>
      <c r="E60" s="4" t="s">
        <v>2491</v>
      </c>
      <c r="F60" s="6">
        <v>14236763</v>
      </c>
      <c r="G60" s="3">
        <v>14236763</v>
      </c>
      <c r="H60" s="7">
        <v>195883817552</v>
      </c>
      <c r="I60" s="8" t="s">
        <v>3195</v>
      </c>
      <c r="J60" s="4">
        <v>1</v>
      </c>
      <c r="K60" s="9">
        <v>18.989999999999998</v>
      </c>
      <c r="L60" s="9">
        <v>18.989999999999998</v>
      </c>
      <c r="M60" s="4" t="s">
        <v>3196</v>
      </c>
      <c r="N60" s="4" t="s">
        <v>2728</v>
      </c>
      <c r="O60" s="4">
        <v>5</v>
      </c>
      <c r="P60" s="4" t="s">
        <v>2536</v>
      </c>
      <c r="Q60" s="4" t="s">
        <v>2944</v>
      </c>
      <c r="R60" s="4"/>
      <c r="S60" s="4"/>
      <c r="T60" s="4"/>
    </row>
    <row r="61" spans="1:20" ht="15" customHeight="1" x14ac:dyDescent="0.25">
      <c r="A61" s="4" t="s">
        <v>2489</v>
      </c>
      <c r="B61" s="2" t="s">
        <v>2487</v>
      </c>
      <c r="C61" s="2" t="s">
        <v>2488</v>
      </c>
      <c r="D61" s="5" t="s">
        <v>2490</v>
      </c>
      <c r="E61" s="4" t="s">
        <v>2491</v>
      </c>
      <c r="F61" s="6">
        <v>14236763</v>
      </c>
      <c r="G61" s="3">
        <v>14236763</v>
      </c>
      <c r="H61" s="7">
        <v>733004744631</v>
      </c>
      <c r="I61" s="8" t="s">
        <v>1740</v>
      </c>
      <c r="J61" s="4">
        <v>1</v>
      </c>
      <c r="K61" s="9">
        <v>7.99</v>
      </c>
      <c r="L61" s="9">
        <v>7.99</v>
      </c>
      <c r="M61" s="4" t="s">
        <v>2035</v>
      </c>
      <c r="N61" s="4" t="s">
        <v>2531</v>
      </c>
      <c r="O61" s="4" t="s">
        <v>2629</v>
      </c>
      <c r="P61" s="4" t="s">
        <v>2503</v>
      </c>
      <c r="Q61" s="4" t="s">
        <v>2504</v>
      </c>
      <c r="R61" s="4"/>
      <c r="S61" s="4"/>
      <c r="T61" s="4" t="str">
        <f>HYPERLINK("http://slimages.macys.com/is/image/MCY/20466473 ")</f>
        <v xml:space="preserve">http://slimages.macys.com/is/image/MCY/20466473 </v>
      </c>
    </row>
    <row r="62" spans="1:20" ht="15" customHeight="1" x14ac:dyDescent="0.25">
      <c r="A62" s="4" t="s">
        <v>2489</v>
      </c>
      <c r="B62" s="2" t="s">
        <v>2487</v>
      </c>
      <c r="C62" s="2" t="s">
        <v>2488</v>
      </c>
      <c r="D62" s="5" t="s">
        <v>2490</v>
      </c>
      <c r="E62" s="4" t="s">
        <v>2491</v>
      </c>
      <c r="F62" s="6">
        <v>14236763</v>
      </c>
      <c r="G62" s="3">
        <v>14236763</v>
      </c>
      <c r="H62" s="7">
        <v>195958125650</v>
      </c>
      <c r="I62" s="8" t="s">
        <v>814</v>
      </c>
      <c r="J62" s="4">
        <v>1</v>
      </c>
      <c r="K62" s="9">
        <v>24.99</v>
      </c>
      <c r="L62" s="9">
        <v>24.99</v>
      </c>
      <c r="M62" s="4" t="s">
        <v>815</v>
      </c>
      <c r="N62" s="4" t="s">
        <v>2544</v>
      </c>
      <c r="O62" s="4">
        <v>4</v>
      </c>
      <c r="P62" s="4" t="s">
        <v>2536</v>
      </c>
      <c r="Q62" s="4" t="s">
        <v>2844</v>
      </c>
      <c r="R62" s="4"/>
      <c r="S62" s="4"/>
      <c r="T62" s="4"/>
    </row>
    <row r="63" spans="1:20" ht="15" customHeight="1" x14ac:dyDescent="0.25">
      <c r="A63" s="4" t="s">
        <v>2489</v>
      </c>
      <c r="B63" s="2" t="s">
        <v>2487</v>
      </c>
      <c r="C63" s="2" t="s">
        <v>2488</v>
      </c>
      <c r="D63" s="5" t="s">
        <v>2490</v>
      </c>
      <c r="E63" s="4" t="s">
        <v>2491</v>
      </c>
      <c r="F63" s="6">
        <v>14236763</v>
      </c>
      <c r="G63" s="3">
        <v>14236763</v>
      </c>
      <c r="H63" s="7">
        <v>762120261364</v>
      </c>
      <c r="I63" s="8" t="s">
        <v>2041</v>
      </c>
      <c r="J63" s="4">
        <v>1</v>
      </c>
      <c r="K63" s="9">
        <v>19.989999999999998</v>
      </c>
      <c r="L63" s="9">
        <v>19.989999999999998</v>
      </c>
      <c r="M63" s="4" t="s">
        <v>2042</v>
      </c>
      <c r="N63" s="4" t="s">
        <v>2501</v>
      </c>
      <c r="O63" s="4"/>
      <c r="P63" s="4" t="s">
        <v>2503</v>
      </c>
      <c r="Q63" s="4" t="s">
        <v>2504</v>
      </c>
      <c r="R63" s="4"/>
      <c r="S63" s="4"/>
      <c r="T63" s="4" t="str">
        <f>HYPERLINK("http://slimages.macys.com/is/image/MCY/20385774 ")</f>
        <v xml:space="preserve">http://slimages.macys.com/is/image/MCY/20385774 </v>
      </c>
    </row>
    <row r="64" spans="1:20" ht="15" customHeight="1" x14ac:dyDescent="0.25">
      <c r="A64" s="4" t="s">
        <v>2489</v>
      </c>
      <c r="B64" s="2" t="s">
        <v>2487</v>
      </c>
      <c r="C64" s="2" t="s">
        <v>2488</v>
      </c>
      <c r="D64" s="5" t="s">
        <v>2490</v>
      </c>
      <c r="E64" s="4" t="s">
        <v>2491</v>
      </c>
      <c r="F64" s="6">
        <v>14236763</v>
      </c>
      <c r="G64" s="3">
        <v>14236763</v>
      </c>
      <c r="H64" s="7">
        <v>716767143</v>
      </c>
      <c r="I64" s="8" t="s">
        <v>816</v>
      </c>
      <c r="J64" s="4">
        <v>1</v>
      </c>
      <c r="K64" s="9">
        <v>18.989999999999998</v>
      </c>
      <c r="L64" s="9">
        <v>18.989999999999998</v>
      </c>
      <c r="M64" s="4" t="s">
        <v>817</v>
      </c>
      <c r="N64" s="4" t="s">
        <v>3049</v>
      </c>
      <c r="O64" s="4" t="s">
        <v>2587</v>
      </c>
      <c r="P64" s="4" t="s">
        <v>2569</v>
      </c>
      <c r="Q64" s="4" t="s">
        <v>2773</v>
      </c>
      <c r="R64" s="4"/>
      <c r="S64" s="4"/>
      <c r="T64" s="4" t="str">
        <f>HYPERLINK("http://slimages.macys.com/is/image/MCY/20543478 ")</f>
        <v xml:space="preserve">http://slimages.macys.com/is/image/MCY/20543478 </v>
      </c>
    </row>
    <row r="65" spans="1:20" ht="15" customHeight="1" x14ac:dyDescent="0.25">
      <c r="A65" s="4" t="s">
        <v>2489</v>
      </c>
      <c r="B65" s="2" t="s">
        <v>2487</v>
      </c>
      <c r="C65" s="2" t="s">
        <v>2488</v>
      </c>
      <c r="D65" s="5" t="s">
        <v>2490</v>
      </c>
      <c r="E65" s="4" t="s">
        <v>2491</v>
      </c>
      <c r="F65" s="6">
        <v>14236763</v>
      </c>
      <c r="G65" s="3">
        <v>14236763</v>
      </c>
      <c r="H65" s="7">
        <v>733004780219</v>
      </c>
      <c r="I65" s="8" t="s">
        <v>1561</v>
      </c>
      <c r="J65" s="4">
        <v>1</v>
      </c>
      <c r="K65" s="9">
        <v>7.99</v>
      </c>
      <c r="L65" s="9">
        <v>7.99</v>
      </c>
      <c r="M65" s="4" t="s">
        <v>3149</v>
      </c>
      <c r="N65" s="4" t="s">
        <v>2638</v>
      </c>
      <c r="O65" s="4" t="s">
        <v>2628</v>
      </c>
      <c r="P65" s="4" t="s">
        <v>2602</v>
      </c>
      <c r="Q65" s="4" t="s">
        <v>2528</v>
      </c>
      <c r="R65" s="4"/>
      <c r="S65" s="4"/>
      <c r="T65" s="4" t="str">
        <f>HYPERLINK("http://slimages.macys.com/is/image/MCY/20450168 ")</f>
        <v xml:space="preserve">http://slimages.macys.com/is/image/MCY/20450168 </v>
      </c>
    </row>
    <row r="66" spans="1:20" ht="15" customHeight="1" x14ac:dyDescent="0.25">
      <c r="A66" s="4" t="s">
        <v>2489</v>
      </c>
      <c r="B66" s="2" t="s">
        <v>2487</v>
      </c>
      <c r="C66" s="2" t="s">
        <v>2488</v>
      </c>
      <c r="D66" s="5" t="s">
        <v>2490</v>
      </c>
      <c r="E66" s="4" t="s">
        <v>2491</v>
      </c>
      <c r="F66" s="6">
        <v>14236763</v>
      </c>
      <c r="G66" s="3">
        <v>14236763</v>
      </c>
      <c r="H66" s="7">
        <v>742728755908</v>
      </c>
      <c r="I66" s="8" t="s">
        <v>818</v>
      </c>
      <c r="J66" s="4">
        <v>1</v>
      </c>
      <c r="K66" s="9">
        <v>29.99</v>
      </c>
      <c r="L66" s="9">
        <v>29.99</v>
      </c>
      <c r="M66" s="4" t="s">
        <v>819</v>
      </c>
      <c r="N66" s="4" t="s">
        <v>2535</v>
      </c>
      <c r="O66" s="4" t="s">
        <v>2653</v>
      </c>
      <c r="P66" s="4" t="s">
        <v>2619</v>
      </c>
      <c r="Q66" s="4" t="s">
        <v>2733</v>
      </c>
      <c r="R66" s="4"/>
      <c r="S66" s="4"/>
      <c r="T66" s="4" t="str">
        <f>HYPERLINK("http://slimages.macys.com/is/image/MCY/19696042 ")</f>
        <v xml:space="preserve">http://slimages.macys.com/is/image/MCY/19696042 </v>
      </c>
    </row>
    <row r="67" spans="1:20" ht="15" customHeight="1" x14ac:dyDescent="0.25">
      <c r="A67" s="4" t="s">
        <v>2489</v>
      </c>
      <c r="B67" s="2" t="s">
        <v>2487</v>
      </c>
      <c r="C67" s="2" t="s">
        <v>2488</v>
      </c>
      <c r="D67" s="5" t="s">
        <v>2490</v>
      </c>
      <c r="E67" s="4" t="s">
        <v>2491</v>
      </c>
      <c r="F67" s="6">
        <v>14236763</v>
      </c>
      <c r="G67" s="3">
        <v>14236763</v>
      </c>
      <c r="H67" s="7">
        <v>733004779091</v>
      </c>
      <c r="I67" s="8" t="s">
        <v>3292</v>
      </c>
      <c r="J67" s="4">
        <v>1</v>
      </c>
      <c r="K67" s="9">
        <v>7.99</v>
      </c>
      <c r="L67" s="9">
        <v>7.99</v>
      </c>
      <c r="M67" s="4" t="s">
        <v>2719</v>
      </c>
      <c r="N67" s="4" t="s">
        <v>2565</v>
      </c>
      <c r="O67" s="4" t="s">
        <v>2650</v>
      </c>
      <c r="P67" s="4" t="s">
        <v>2602</v>
      </c>
      <c r="Q67" s="4" t="s">
        <v>2528</v>
      </c>
      <c r="R67" s="4"/>
      <c r="S67" s="4"/>
      <c r="T67" s="4" t="str">
        <f>HYPERLINK("http://slimages.macys.com/is/image/MCY/20450156 ")</f>
        <v xml:space="preserve">http://slimages.macys.com/is/image/MCY/20450156 </v>
      </c>
    </row>
    <row r="68" spans="1:20" ht="15" customHeight="1" x14ac:dyDescent="0.25">
      <c r="A68" s="4" t="s">
        <v>2489</v>
      </c>
      <c r="B68" s="2" t="s">
        <v>2487</v>
      </c>
      <c r="C68" s="2" t="s">
        <v>2488</v>
      </c>
      <c r="D68" s="5" t="s">
        <v>2490</v>
      </c>
      <c r="E68" s="4" t="s">
        <v>2491</v>
      </c>
      <c r="F68" s="6">
        <v>14236763</v>
      </c>
      <c r="G68" s="3">
        <v>14236763</v>
      </c>
      <c r="H68" s="7">
        <v>733003643683</v>
      </c>
      <c r="I68" s="8" t="s">
        <v>820</v>
      </c>
      <c r="J68" s="4">
        <v>2</v>
      </c>
      <c r="K68" s="9">
        <v>18.989999999999998</v>
      </c>
      <c r="L68" s="9">
        <v>37.979999999999997</v>
      </c>
      <c r="M68" s="4" t="s">
        <v>2984</v>
      </c>
      <c r="N68" s="4" t="s">
        <v>2561</v>
      </c>
      <c r="O68" s="4" t="s">
        <v>2628</v>
      </c>
      <c r="P68" s="4" t="s">
        <v>2515</v>
      </c>
      <c r="Q68" s="4" t="s">
        <v>2972</v>
      </c>
      <c r="R68" s="4"/>
      <c r="S68" s="4"/>
      <c r="T68" s="4" t="str">
        <f>HYPERLINK("http://slimages.macys.com/is/image/MCY/20008203 ")</f>
        <v xml:space="preserve">http://slimages.macys.com/is/image/MCY/20008203 </v>
      </c>
    </row>
    <row r="69" spans="1:20" ht="15" customHeight="1" x14ac:dyDescent="0.25">
      <c r="A69" s="4" t="s">
        <v>2489</v>
      </c>
      <c r="B69" s="2" t="s">
        <v>2487</v>
      </c>
      <c r="C69" s="2" t="s">
        <v>2488</v>
      </c>
      <c r="D69" s="5" t="s">
        <v>2490</v>
      </c>
      <c r="E69" s="4" t="s">
        <v>2491</v>
      </c>
      <c r="F69" s="6">
        <v>14236763</v>
      </c>
      <c r="G69" s="3">
        <v>14236763</v>
      </c>
      <c r="H69" s="7">
        <v>195883817705</v>
      </c>
      <c r="I69" s="8" t="s">
        <v>3258</v>
      </c>
      <c r="J69" s="4">
        <v>1</v>
      </c>
      <c r="K69" s="9">
        <v>18.989999999999998</v>
      </c>
      <c r="L69" s="9">
        <v>18.989999999999998</v>
      </c>
      <c r="M69" s="4" t="s">
        <v>3259</v>
      </c>
      <c r="N69" s="4" t="s">
        <v>2642</v>
      </c>
      <c r="O69" s="4" t="s">
        <v>2705</v>
      </c>
      <c r="P69" s="4" t="s">
        <v>2536</v>
      </c>
      <c r="Q69" s="4" t="s">
        <v>2944</v>
      </c>
      <c r="R69" s="4"/>
      <c r="S69" s="4"/>
      <c r="T69" s="4"/>
    </row>
    <row r="70" spans="1:20" ht="15" customHeight="1" x14ac:dyDescent="0.25">
      <c r="A70" s="4" t="s">
        <v>2489</v>
      </c>
      <c r="B70" s="2" t="s">
        <v>2487</v>
      </c>
      <c r="C70" s="2" t="s">
        <v>2488</v>
      </c>
      <c r="D70" s="5" t="s">
        <v>2490</v>
      </c>
      <c r="E70" s="4" t="s">
        <v>2491</v>
      </c>
      <c r="F70" s="6">
        <v>14236763</v>
      </c>
      <c r="G70" s="3">
        <v>14236763</v>
      </c>
      <c r="H70" s="7">
        <v>195958173538</v>
      </c>
      <c r="I70" s="8" t="s">
        <v>821</v>
      </c>
      <c r="J70" s="4">
        <v>1</v>
      </c>
      <c r="K70" s="9">
        <v>24.99</v>
      </c>
      <c r="L70" s="9">
        <v>24.99</v>
      </c>
      <c r="M70" s="4" t="s">
        <v>2050</v>
      </c>
      <c r="N70" s="4" t="s">
        <v>2544</v>
      </c>
      <c r="O70" s="4" t="s">
        <v>2524</v>
      </c>
      <c r="P70" s="4" t="s">
        <v>2536</v>
      </c>
      <c r="Q70" s="4" t="s">
        <v>2844</v>
      </c>
      <c r="R70" s="4"/>
      <c r="S70" s="4"/>
      <c r="T70" s="4"/>
    </row>
    <row r="71" spans="1:20" ht="15" customHeight="1" x14ac:dyDescent="0.25">
      <c r="A71" s="4" t="s">
        <v>2489</v>
      </c>
      <c r="B71" s="2" t="s">
        <v>2487</v>
      </c>
      <c r="C71" s="2" t="s">
        <v>2488</v>
      </c>
      <c r="D71" s="5" t="s">
        <v>2490</v>
      </c>
      <c r="E71" s="4" t="s">
        <v>2491</v>
      </c>
      <c r="F71" s="6">
        <v>14236763</v>
      </c>
      <c r="G71" s="3">
        <v>14236763</v>
      </c>
      <c r="H71" s="7">
        <v>733003644178</v>
      </c>
      <c r="I71" s="8" t="s">
        <v>3277</v>
      </c>
      <c r="J71" s="4">
        <v>1</v>
      </c>
      <c r="K71" s="9">
        <v>15.99</v>
      </c>
      <c r="L71" s="9">
        <v>15.99</v>
      </c>
      <c r="M71" s="4" t="s">
        <v>2998</v>
      </c>
      <c r="N71" s="4" t="s">
        <v>2514</v>
      </c>
      <c r="O71" s="4" t="s">
        <v>2650</v>
      </c>
      <c r="P71" s="4" t="s">
        <v>2515</v>
      </c>
      <c r="Q71" s="4" t="s">
        <v>2972</v>
      </c>
      <c r="R71" s="4"/>
      <c r="S71" s="4"/>
      <c r="T71" s="4" t="str">
        <f>HYPERLINK("http://slimages.macys.com/is/image/MCY/20008061 ")</f>
        <v xml:space="preserve">http://slimages.macys.com/is/image/MCY/20008061 </v>
      </c>
    </row>
    <row r="72" spans="1:20" ht="15" customHeight="1" x14ac:dyDescent="0.25">
      <c r="A72" s="4" t="s">
        <v>2489</v>
      </c>
      <c r="B72" s="2" t="s">
        <v>2487</v>
      </c>
      <c r="C72" s="2" t="s">
        <v>2488</v>
      </c>
      <c r="D72" s="5" t="s">
        <v>2490</v>
      </c>
      <c r="E72" s="4" t="s">
        <v>2491</v>
      </c>
      <c r="F72" s="6">
        <v>14236763</v>
      </c>
      <c r="G72" s="3">
        <v>14236763</v>
      </c>
      <c r="H72" s="7">
        <v>194135520387</v>
      </c>
      <c r="I72" s="8" t="s">
        <v>822</v>
      </c>
      <c r="J72" s="4">
        <v>1</v>
      </c>
      <c r="K72" s="9">
        <v>13.62</v>
      </c>
      <c r="L72" s="9">
        <v>13.62</v>
      </c>
      <c r="M72" s="4" t="s">
        <v>823</v>
      </c>
      <c r="N72" s="4" t="s">
        <v>2731</v>
      </c>
      <c r="O72" s="4" t="s">
        <v>2587</v>
      </c>
      <c r="P72" s="4" t="s">
        <v>2657</v>
      </c>
      <c r="Q72" s="4" t="s">
        <v>2658</v>
      </c>
      <c r="R72" s="4"/>
      <c r="S72" s="4"/>
      <c r="T72" s="4" t="str">
        <f>HYPERLINK("http://slimages.macys.com/is/image/MCY/19858258 ")</f>
        <v xml:space="preserve">http://slimages.macys.com/is/image/MCY/19858258 </v>
      </c>
    </row>
    <row r="73" spans="1:20" ht="15" customHeight="1" x14ac:dyDescent="0.25">
      <c r="A73" s="4" t="s">
        <v>2489</v>
      </c>
      <c r="B73" s="2" t="s">
        <v>2487</v>
      </c>
      <c r="C73" s="2" t="s">
        <v>2488</v>
      </c>
      <c r="D73" s="5" t="s">
        <v>2490</v>
      </c>
      <c r="E73" s="4" t="s">
        <v>2491</v>
      </c>
      <c r="F73" s="6">
        <v>14236763</v>
      </c>
      <c r="G73" s="3">
        <v>14236763</v>
      </c>
      <c r="H73" s="7">
        <v>733004089084</v>
      </c>
      <c r="I73" s="8" t="s">
        <v>824</v>
      </c>
      <c r="J73" s="4">
        <v>1</v>
      </c>
      <c r="K73" s="9">
        <v>7.99</v>
      </c>
      <c r="L73" s="9">
        <v>7.99</v>
      </c>
      <c r="M73" s="4" t="s">
        <v>2925</v>
      </c>
      <c r="N73" s="4" t="s">
        <v>2501</v>
      </c>
      <c r="O73" s="4" t="s">
        <v>2650</v>
      </c>
      <c r="P73" s="4" t="s">
        <v>2602</v>
      </c>
      <c r="Q73" s="4" t="s">
        <v>2528</v>
      </c>
      <c r="R73" s="4"/>
      <c r="S73" s="4"/>
      <c r="T73" s="4" t="str">
        <f>HYPERLINK("http://slimages.macys.com/is/image/MCY/19988258 ")</f>
        <v xml:space="preserve">http://slimages.macys.com/is/image/MCY/19988258 </v>
      </c>
    </row>
    <row r="74" spans="1:20" ht="15" customHeight="1" x14ac:dyDescent="0.25">
      <c r="A74" s="4" t="s">
        <v>2489</v>
      </c>
      <c r="B74" s="2" t="s">
        <v>2487</v>
      </c>
      <c r="C74" s="2" t="s">
        <v>2488</v>
      </c>
      <c r="D74" s="5" t="s">
        <v>2490</v>
      </c>
      <c r="E74" s="4" t="s">
        <v>2491</v>
      </c>
      <c r="F74" s="6">
        <v>14236763</v>
      </c>
      <c r="G74" s="3">
        <v>14236763</v>
      </c>
      <c r="H74" s="7">
        <v>733003643898</v>
      </c>
      <c r="I74" s="8" t="s">
        <v>2007</v>
      </c>
      <c r="J74" s="4">
        <v>2</v>
      </c>
      <c r="K74" s="9">
        <v>15.99</v>
      </c>
      <c r="L74" s="9">
        <v>31.98</v>
      </c>
      <c r="M74" s="4" t="s">
        <v>2971</v>
      </c>
      <c r="N74" s="4" t="s">
        <v>2567</v>
      </c>
      <c r="O74" s="4" t="s">
        <v>2628</v>
      </c>
      <c r="P74" s="4" t="s">
        <v>2515</v>
      </c>
      <c r="Q74" s="4" t="s">
        <v>2972</v>
      </c>
      <c r="R74" s="4"/>
      <c r="S74" s="4"/>
      <c r="T74" s="4" t="str">
        <f>HYPERLINK("http://slimages.macys.com/is/image/MCY/20008082 ")</f>
        <v xml:space="preserve">http://slimages.macys.com/is/image/MCY/20008082 </v>
      </c>
    </row>
    <row r="75" spans="1:20" ht="15" customHeight="1" x14ac:dyDescent="0.25">
      <c r="A75" s="4" t="s">
        <v>2489</v>
      </c>
      <c r="B75" s="2" t="s">
        <v>2487</v>
      </c>
      <c r="C75" s="2" t="s">
        <v>2488</v>
      </c>
      <c r="D75" s="5" t="s">
        <v>2490</v>
      </c>
      <c r="E75" s="4" t="s">
        <v>2491</v>
      </c>
      <c r="F75" s="6">
        <v>14236763</v>
      </c>
      <c r="G75" s="3">
        <v>14236763</v>
      </c>
      <c r="H75" s="7">
        <v>194870454749</v>
      </c>
      <c r="I75" s="8" t="s">
        <v>825</v>
      </c>
      <c r="J75" s="4">
        <v>1</v>
      </c>
      <c r="K75" s="9">
        <v>24.99</v>
      </c>
      <c r="L75" s="9">
        <v>24.99</v>
      </c>
      <c r="M75" s="4" t="s">
        <v>1289</v>
      </c>
      <c r="N75" s="4" t="s">
        <v>2567</v>
      </c>
      <c r="O75" s="4">
        <v>4</v>
      </c>
      <c r="P75" s="4" t="s">
        <v>2499</v>
      </c>
      <c r="Q75" s="4" t="s">
        <v>2663</v>
      </c>
      <c r="R75" s="4"/>
      <c r="S75" s="4"/>
      <c r="T75" s="4" t="str">
        <f>HYPERLINK("http://slimages.macys.com/is/image/MCY/19578840 ")</f>
        <v xml:space="preserve">http://slimages.macys.com/is/image/MCY/19578840 </v>
      </c>
    </row>
    <row r="76" spans="1:20" ht="15" customHeight="1" x14ac:dyDescent="0.25">
      <c r="A76" s="4" t="s">
        <v>2489</v>
      </c>
      <c r="B76" s="2" t="s">
        <v>2487</v>
      </c>
      <c r="C76" s="2" t="s">
        <v>2488</v>
      </c>
      <c r="D76" s="5" t="s">
        <v>2490</v>
      </c>
      <c r="E76" s="4" t="s">
        <v>2491</v>
      </c>
      <c r="F76" s="6">
        <v>14236763</v>
      </c>
      <c r="G76" s="3">
        <v>14236763</v>
      </c>
      <c r="H76" s="7">
        <v>196027093092</v>
      </c>
      <c r="I76" s="8" t="s">
        <v>2753</v>
      </c>
      <c r="J76" s="4">
        <v>1</v>
      </c>
      <c r="K76" s="9">
        <v>16.989999999999998</v>
      </c>
      <c r="L76" s="9">
        <v>16.989999999999998</v>
      </c>
      <c r="M76" s="4" t="s">
        <v>2754</v>
      </c>
      <c r="N76" s="4" t="s">
        <v>2544</v>
      </c>
      <c r="O76" s="4"/>
      <c r="P76" s="4" t="s">
        <v>2569</v>
      </c>
      <c r="Q76" s="4" t="s">
        <v>2755</v>
      </c>
      <c r="R76" s="4"/>
      <c r="S76" s="4"/>
      <c r="T76" s="4" t="str">
        <f>HYPERLINK("http://slimages.macys.com/is/image/MCY/20750190 ")</f>
        <v xml:space="preserve">http://slimages.macys.com/is/image/MCY/20750190 </v>
      </c>
    </row>
    <row r="77" spans="1:20" ht="15" customHeight="1" x14ac:dyDescent="0.25">
      <c r="A77" s="4" t="s">
        <v>2489</v>
      </c>
      <c r="B77" s="2" t="s">
        <v>2487</v>
      </c>
      <c r="C77" s="2" t="s">
        <v>2488</v>
      </c>
      <c r="D77" s="5" t="s">
        <v>2490</v>
      </c>
      <c r="E77" s="4" t="s">
        <v>2491</v>
      </c>
      <c r="F77" s="6">
        <v>14236763</v>
      </c>
      <c r="G77" s="3">
        <v>14236763</v>
      </c>
      <c r="H77" s="7">
        <v>640013923585</v>
      </c>
      <c r="I77" s="8" t="s">
        <v>3059</v>
      </c>
      <c r="J77" s="4">
        <v>1</v>
      </c>
      <c r="K77" s="9">
        <v>10.56</v>
      </c>
      <c r="L77" s="9">
        <v>10.56</v>
      </c>
      <c r="M77" s="4" t="s">
        <v>3060</v>
      </c>
      <c r="N77" s="4" t="s">
        <v>2497</v>
      </c>
      <c r="O77" s="4" t="s">
        <v>2519</v>
      </c>
      <c r="P77" s="4" t="s">
        <v>2556</v>
      </c>
      <c r="Q77" s="4" t="s">
        <v>2557</v>
      </c>
      <c r="R77" s="4"/>
      <c r="S77" s="4"/>
      <c r="T77" s="4" t="str">
        <f>HYPERLINK("http://slimages.macys.com/is/image/MCY/20866503 ")</f>
        <v xml:space="preserve">http://slimages.macys.com/is/image/MCY/20866503 </v>
      </c>
    </row>
    <row r="78" spans="1:20" ht="15" customHeight="1" x14ac:dyDescent="0.25">
      <c r="A78" s="4" t="s">
        <v>2489</v>
      </c>
      <c r="B78" s="2" t="s">
        <v>2487</v>
      </c>
      <c r="C78" s="2" t="s">
        <v>2488</v>
      </c>
      <c r="D78" s="5" t="s">
        <v>2490</v>
      </c>
      <c r="E78" s="4" t="s">
        <v>2491</v>
      </c>
      <c r="F78" s="6">
        <v>14236763</v>
      </c>
      <c r="G78" s="3">
        <v>14236763</v>
      </c>
      <c r="H78" s="7">
        <v>762120086431</v>
      </c>
      <c r="I78" s="8" t="s">
        <v>1775</v>
      </c>
      <c r="J78" s="4">
        <v>1</v>
      </c>
      <c r="K78" s="9">
        <v>7.99</v>
      </c>
      <c r="L78" s="9">
        <v>7.99</v>
      </c>
      <c r="M78" s="4" t="s">
        <v>1776</v>
      </c>
      <c r="N78" s="4" t="s">
        <v>2638</v>
      </c>
      <c r="O78" s="4" t="s">
        <v>2628</v>
      </c>
      <c r="P78" s="4" t="s">
        <v>2602</v>
      </c>
      <c r="Q78" s="4" t="s">
        <v>2528</v>
      </c>
      <c r="R78" s="4"/>
      <c r="S78" s="4"/>
      <c r="T78" s="4" t="str">
        <f>HYPERLINK("http://slimages.macys.com/is/image/MCY/1079693 ")</f>
        <v xml:space="preserve">http://slimages.macys.com/is/image/MCY/1079693 </v>
      </c>
    </row>
    <row r="79" spans="1:20" ht="15" customHeight="1" x14ac:dyDescent="0.25">
      <c r="A79" s="4" t="s">
        <v>2489</v>
      </c>
      <c r="B79" s="2" t="s">
        <v>2487</v>
      </c>
      <c r="C79" s="2" t="s">
        <v>2488</v>
      </c>
      <c r="D79" s="5" t="s">
        <v>2490</v>
      </c>
      <c r="E79" s="4" t="s">
        <v>2491</v>
      </c>
      <c r="F79" s="6">
        <v>14236763</v>
      </c>
      <c r="G79" s="3">
        <v>14236763</v>
      </c>
      <c r="H79" s="7">
        <v>195883817712</v>
      </c>
      <c r="I79" s="8" t="s">
        <v>3258</v>
      </c>
      <c r="J79" s="4">
        <v>1</v>
      </c>
      <c r="K79" s="9">
        <v>18.989999999999998</v>
      </c>
      <c r="L79" s="9">
        <v>18.989999999999998</v>
      </c>
      <c r="M79" s="4" t="s">
        <v>3259</v>
      </c>
      <c r="N79" s="4" t="s">
        <v>2642</v>
      </c>
      <c r="O79" s="4" t="s">
        <v>2524</v>
      </c>
      <c r="P79" s="4" t="s">
        <v>2536</v>
      </c>
      <c r="Q79" s="4" t="s">
        <v>2944</v>
      </c>
      <c r="R79" s="4"/>
      <c r="S79" s="4"/>
      <c r="T79" s="4"/>
    </row>
    <row r="80" spans="1:20" ht="15" customHeight="1" x14ac:dyDescent="0.25">
      <c r="A80" s="4" t="s">
        <v>2489</v>
      </c>
      <c r="B80" s="2" t="s">
        <v>2487</v>
      </c>
      <c r="C80" s="2" t="s">
        <v>2488</v>
      </c>
      <c r="D80" s="5" t="s">
        <v>2490</v>
      </c>
      <c r="E80" s="4" t="s">
        <v>2491</v>
      </c>
      <c r="F80" s="6">
        <v>14236763</v>
      </c>
      <c r="G80" s="3">
        <v>14236763</v>
      </c>
      <c r="H80" s="7">
        <v>762120017077</v>
      </c>
      <c r="I80" s="8" t="s">
        <v>826</v>
      </c>
      <c r="J80" s="4">
        <v>1</v>
      </c>
      <c r="K80" s="9">
        <v>7.99</v>
      </c>
      <c r="L80" s="9">
        <v>7.99</v>
      </c>
      <c r="M80" s="4" t="s">
        <v>3439</v>
      </c>
      <c r="N80" s="4" t="s">
        <v>2565</v>
      </c>
      <c r="O80" s="4" t="s">
        <v>2629</v>
      </c>
      <c r="P80" s="4" t="s">
        <v>2503</v>
      </c>
      <c r="Q80" s="4" t="s">
        <v>2504</v>
      </c>
      <c r="R80" s="4"/>
      <c r="S80" s="4"/>
      <c r="T80" s="4" t="str">
        <f>HYPERLINK("http://slimages.macys.com/is/image/MCY/20436495 ")</f>
        <v xml:space="preserve">http://slimages.macys.com/is/image/MCY/20436495 </v>
      </c>
    </row>
    <row r="81" spans="1:20" ht="15" customHeight="1" x14ac:dyDescent="0.25">
      <c r="A81" s="4" t="s">
        <v>2489</v>
      </c>
      <c r="B81" s="2" t="s">
        <v>2487</v>
      </c>
      <c r="C81" s="2" t="s">
        <v>2488</v>
      </c>
      <c r="D81" s="5" t="s">
        <v>2490</v>
      </c>
      <c r="E81" s="4" t="s">
        <v>2491</v>
      </c>
      <c r="F81" s="6">
        <v>14236763</v>
      </c>
      <c r="G81" s="3">
        <v>14236763</v>
      </c>
      <c r="H81" s="7">
        <v>733004295256</v>
      </c>
      <c r="I81" s="8" t="s">
        <v>827</v>
      </c>
      <c r="J81" s="4">
        <v>2</v>
      </c>
      <c r="K81" s="9">
        <v>12.99</v>
      </c>
      <c r="L81" s="9">
        <v>25.98</v>
      </c>
      <c r="M81" s="4" t="s">
        <v>3435</v>
      </c>
      <c r="N81" s="4" t="s">
        <v>2600</v>
      </c>
      <c r="O81" s="4" t="s">
        <v>2559</v>
      </c>
      <c r="P81" s="4" t="s">
        <v>2503</v>
      </c>
      <c r="Q81" s="4" t="s">
        <v>2504</v>
      </c>
      <c r="R81" s="4"/>
      <c r="S81" s="4"/>
      <c r="T81" s="4" t="str">
        <f>HYPERLINK("http://slimages.macys.com/is/image/MCY/19217922 ")</f>
        <v xml:space="preserve">http://slimages.macys.com/is/image/MCY/19217922 </v>
      </c>
    </row>
    <row r="82" spans="1:20" ht="15" customHeight="1" x14ac:dyDescent="0.25">
      <c r="A82" s="4" t="s">
        <v>2489</v>
      </c>
      <c r="B82" s="2" t="s">
        <v>2487</v>
      </c>
      <c r="C82" s="2" t="s">
        <v>2488</v>
      </c>
      <c r="D82" s="5" t="s">
        <v>2490</v>
      </c>
      <c r="E82" s="4" t="s">
        <v>2491</v>
      </c>
      <c r="F82" s="6">
        <v>14236763</v>
      </c>
      <c r="G82" s="3">
        <v>14236763</v>
      </c>
      <c r="H82" s="7">
        <v>762120121729</v>
      </c>
      <c r="I82" s="8" t="s">
        <v>1930</v>
      </c>
      <c r="J82" s="4">
        <v>1</v>
      </c>
      <c r="K82" s="9">
        <v>5.99</v>
      </c>
      <c r="L82" s="9">
        <v>5.99</v>
      </c>
      <c r="M82" s="4" t="s">
        <v>2926</v>
      </c>
      <c r="N82" s="4" t="s">
        <v>2501</v>
      </c>
      <c r="O82" s="4" t="s">
        <v>2559</v>
      </c>
      <c r="P82" s="4" t="s">
        <v>2503</v>
      </c>
      <c r="Q82" s="4" t="s">
        <v>2504</v>
      </c>
      <c r="R82" s="4"/>
      <c r="S82" s="4"/>
      <c r="T82" s="4" t="str">
        <f>HYPERLINK("http://slimages.macys.com/is/image/MCY/20385993 ")</f>
        <v xml:space="preserve">http://slimages.macys.com/is/image/MCY/20385993 </v>
      </c>
    </row>
    <row r="83" spans="1:20" ht="15" customHeight="1" x14ac:dyDescent="0.25">
      <c r="A83" s="4" t="s">
        <v>2489</v>
      </c>
      <c r="B83" s="2" t="s">
        <v>2487</v>
      </c>
      <c r="C83" s="2" t="s">
        <v>2488</v>
      </c>
      <c r="D83" s="5" t="s">
        <v>2490</v>
      </c>
      <c r="E83" s="4" t="s">
        <v>2491</v>
      </c>
      <c r="F83" s="6">
        <v>14236763</v>
      </c>
      <c r="G83" s="3">
        <v>14236763</v>
      </c>
      <c r="H83" s="7">
        <v>762120020152</v>
      </c>
      <c r="I83" s="8" t="s">
        <v>3234</v>
      </c>
      <c r="J83" s="4">
        <v>1</v>
      </c>
      <c r="K83" s="9">
        <v>6.99</v>
      </c>
      <c r="L83" s="9">
        <v>6.99</v>
      </c>
      <c r="M83" s="4" t="s">
        <v>3235</v>
      </c>
      <c r="N83" s="4" t="s">
        <v>2638</v>
      </c>
      <c r="O83" s="4" t="s">
        <v>2601</v>
      </c>
      <c r="P83" s="4" t="s">
        <v>2503</v>
      </c>
      <c r="Q83" s="4" t="s">
        <v>2504</v>
      </c>
      <c r="R83" s="4"/>
      <c r="S83" s="4"/>
      <c r="T83" s="4" t="str">
        <f>HYPERLINK("http://slimages.macys.com/is/image/MCY/20436495 ")</f>
        <v xml:space="preserve">http://slimages.macys.com/is/image/MCY/20436495 </v>
      </c>
    </row>
    <row r="84" spans="1:20" ht="15" customHeight="1" x14ac:dyDescent="0.25">
      <c r="A84" s="4" t="s">
        <v>2489</v>
      </c>
      <c r="B84" s="2" t="s">
        <v>2487</v>
      </c>
      <c r="C84" s="2" t="s">
        <v>2488</v>
      </c>
      <c r="D84" s="5" t="s">
        <v>2490</v>
      </c>
      <c r="E84" s="4" t="s">
        <v>2491</v>
      </c>
      <c r="F84" s="6">
        <v>14236763</v>
      </c>
      <c r="G84" s="3">
        <v>14236763</v>
      </c>
      <c r="H84" s="7">
        <v>733004883620</v>
      </c>
      <c r="I84" s="8" t="s">
        <v>2239</v>
      </c>
      <c r="J84" s="4">
        <v>2</v>
      </c>
      <c r="K84" s="9">
        <v>6.99</v>
      </c>
      <c r="L84" s="9">
        <v>13.98</v>
      </c>
      <c r="M84" s="4" t="s">
        <v>2240</v>
      </c>
      <c r="N84" s="4" t="s">
        <v>2530</v>
      </c>
      <c r="O84" s="4" t="s">
        <v>2566</v>
      </c>
      <c r="P84" s="4" t="s">
        <v>2503</v>
      </c>
      <c r="Q84" s="4" t="s">
        <v>2504</v>
      </c>
      <c r="R84" s="4"/>
      <c r="S84" s="4"/>
      <c r="T84" s="4" t="str">
        <f>HYPERLINK("http://slimages.macys.com/is/image/MCY/20142585 ")</f>
        <v xml:space="preserve">http://slimages.macys.com/is/image/MCY/20142585 </v>
      </c>
    </row>
    <row r="85" spans="1:20" ht="15" customHeight="1" x14ac:dyDescent="0.25">
      <c r="A85" s="4" t="s">
        <v>2489</v>
      </c>
      <c r="B85" s="2" t="s">
        <v>2487</v>
      </c>
      <c r="C85" s="2" t="s">
        <v>2488</v>
      </c>
      <c r="D85" s="5" t="s">
        <v>2490</v>
      </c>
      <c r="E85" s="4" t="s">
        <v>2491</v>
      </c>
      <c r="F85" s="6">
        <v>14236763</v>
      </c>
      <c r="G85" s="3">
        <v>14236763</v>
      </c>
      <c r="H85" s="7">
        <v>733004738289</v>
      </c>
      <c r="I85" s="8" t="s">
        <v>2895</v>
      </c>
      <c r="J85" s="4">
        <v>2</v>
      </c>
      <c r="K85" s="9">
        <v>6.99</v>
      </c>
      <c r="L85" s="9">
        <v>13.98</v>
      </c>
      <c r="M85" s="4" t="s">
        <v>2777</v>
      </c>
      <c r="N85" s="4" t="s">
        <v>2638</v>
      </c>
      <c r="O85" s="4" t="s">
        <v>2493</v>
      </c>
      <c r="P85" s="4" t="s">
        <v>2503</v>
      </c>
      <c r="Q85" s="4" t="s">
        <v>2504</v>
      </c>
      <c r="R85" s="4"/>
      <c r="S85" s="4"/>
      <c r="T85" s="4" t="str">
        <f>HYPERLINK("http://slimages.macys.com/is/image/MCY/19983979 ")</f>
        <v xml:space="preserve">http://slimages.macys.com/is/image/MCY/19983979 </v>
      </c>
    </row>
    <row r="86" spans="1:20" ht="15" customHeight="1" x14ac:dyDescent="0.25">
      <c r="A86" s="4" t="s">
        <v>2489</v>
      </c>
      <c r="B86" s="2" t="s">
        <v>2487</v>
      </c>
      <c r="C86" s="2" t="s">
        <v>2488</v>
      </c>
      <c r="D86" s="5" t="s">
        <v>2490</v>
      </c>
      <c r="E86" s="4" t="s">
        <v>2491</v>
      </c>
      <c r="F86" s="6">
        <v>14236763</v>
      </c>
      <c r="G86" s="3">
        <v>14236763</v>
      </c>
      <c r="H86" s="7">
        <v>733004739859</v>
      </c>
      <c r="I86" s="8" t="s">
        <v>828</v>
      </c>
      <c r="J86" s="4">
        <v>2</v>
      </c>
      <c r="K86" s="9">
        <v>5.99</v>
      </c>
      <c r="L86" s="9">
        <v>11.98</v>
      </c>
      <c r="M86" s="4" t="s">
        <v>3421</v>
      </c>
      <c r="N86" s="4" t="s">
        <v>2638</v>
      </c>
      <c r="O86" s="4" t="s">
        <v>2601</v>
      </c>
      <c r="P86" s="4" t="s">
        <v>2503</v>
      </c>
      <c r="Q86" s="4" t="s">
        <v>2504</v>
      </c>
      <c r="R86" s="4"/>
      <c r="S86" s="4"/>
      <c r="T86" s="4" t="str">
        <f>HYPERLINK("http://slimages.macys.com/is/image/MCY/19977818 ")</f>
        <v xml:space="preserve">http://slimages.macys.com/is/image/MCY/19977818 </v>
      </c>
    </row>
    <row r="87" spans="1:20" ht="15" customHeight="1" x14ac:dyDescent="0.25">
      <c r="A87" s="4" t="s">
        <v>2489</v>
      </c>
      <c r="B87" s="2" t="s">
        <v>2487</v>
      </c>
      <c r="C87" s="2" t="s">
        <v>2488</v>
      </c>
      <c r="D87" s="5" t="s">
        <v>2490</v>
      </c>
      <c r="E87" s="4" t="s">
        <v>2491</v>
      </c>
      <c r="F87" s="6">
        <v>14236763</v>
      </c>
      <c r="G87" s="3">
        <v>14236763</v>
      </c>
      <c r="H87" s="7">
        <v>733003907686</v>
      </c>
      <c r="I87" s="8" t="s">
        <v>829</v>
      </c>
      <c r="J87" s="4">
        <v>1</v>
      </c>
      <c r="K87" s="9">
        <v>28.99</v>
      </c>
      <c r="L87" s="9">
        <v>28.99</v>
      </c>
      <c r="M87" s="4" t="s">
        <v>1514</v>
      </c>
      <c r="N87" s="4" t="s">
        <v>2665</v>
      </c>
      <c r="O87" s="4" t="s">
        <v>2493</v>
      </c>
      <c r="P87" s="4" t="s">
        <v>2503</v>
      </c>
      <c r="Q87" s="4" t="s">
        <v>2504</v>
      </c>
      <c r="R87" s="4"/>
      <c r="S87" s="4"/>
      <c r="T87" s="4" t="str">
        <f>HYPERLINK("http://slimages.macys.com/is/image/MCY/19511245 ")</f>
        <v xml:space="preserve">http://slimages.macys.com/is/image/MCY/19511245 </v>
      </c>
    </row>
    <row r="88" spans="1:20" ht="15" customHeight="1" x14ac:dyDescent="0.25">
      <c r="A88" s="4" t="s">
        <v>2489</v>
      </c>
      <c r="B88" s="2" t="s">
        <v>2487</v>
      </c>
      <c r="C88" s="2" t="s">
        <v>2488</v>
      </c>
      <c r="D88" s="5" t="s">
        <v>2490</v>
      </c>
      <c r="E88" s="4" t="s">
        <v>2491</v>
      </c>
      <c r="F88" s="6">
        <v>14236763</v>
      </c>
      <c r="G88" s="3">
        <v>14236763</v>
      </c>
      <c r="H88" s="7">
        <v>733004731877</v>
      </c>
      <c r="I88" s="8" t="s">
        <v>830</v>
      </c>
      <c r="J88" s="4">
        <v>1</v>
      </c>
      <c r="K88" s="9">
        <v>12.99</v>
      </c>
      <c r="L88" s="9">
        <v>12.99</v>
      </c>
      <c r="M88" s="4" t="s">
        <v>2124</v>
      </c>
      <c r="N88" s="4" t="s">
        <v>2638</v>
      </c>
      <c r="O88" s="4" t="s">
        <v>2587</v>
      </c>
      <c r="P88" s="4" t="s">
        <v>2520</v>
      </c>
      <c r="Q88" s="4" t="s">
        <v>2528</v>
      </c>
      <c r="R88" s="4"/>
      <c r="S88" s="4"/>
      <c r="T88" s="4" t="str">
        <f>HYPERLINK("http://slimages.macys.com/is/image/MCY/1040532 ")</f>
        <v xml:space="preserve">http://slimages.macys.com/is/image/MCY/1040532 </v>
      </c>
    </row>
    <row r="89" spans="1:20" ht="15" customHeight="1" x14ac:dyDescent="0.25">
      <c r="A89" s="4" t="s">
        <v>2489</v>
      </c>
      <c r="B89" s="2" t="s">
        <v>2487</v>
      </c>
      <c r="C89" s="2" t="s">
        <v>2488</v>
      </c>
      <c r="D89" s="5" t="s">
        <v>2490</v>
      </c>
      <c r="E89" s="4" t="s">
        <v>2491</v>
      </c>
      <c r="F89" s="6">
        <v>14236763</v>
      </c>
      <c r="G89" s="3">
        <v>14236763</v>
      </c>
      <c r="H89" s="7">
        <v>733004883712</v>
      </c>
      <c r="I89" s="8" t="s">
        <v>1302</v>
      </c>
      <c r="J89" s="4">
        <v>1</v>
      </c>
      <c r="K89" s="9">
        <v>6.99</v>
      </c>
      <c r="L89" s="9">
        <v>6.99</v>
      </c>
      <c r="M89" s="4" t="s">
        <v>2826</v>
      </c>
      <c r="N89" s="4" t="s">
        <v>2505</v>
      </c>
      <c r="O89" s="4" t="s">
        <v>2601</v>
      </c>
      <c r="P89" s="4" t="s">
        <v>2503</v>
      </c>
      <c r="Q89" s="4" t="s">
        <v>2504</v>
      </c>
      <c r="R89" s="4"/>
      <c r="S89" s="4"/>
      <c r="T89" s="4" t="str">
        <f>HYPERLINK("http://slimages.macys.com/is/image/MCY/1070793 ")</f>
        <v xml:space="preserve">http://slimages.macys.com/is/image/MCY/1070793 </v>
      </c>
    </row>
    <row r="90" spans="1:20" ht="15" customHeight="1" x14ac:dyDescent="0.25">
      <c r="A90" s="4" t="s">
        <v>2489</v>
      </c>
      <c r="B90" s="2" t="s">
        <v>2487</v>
      </c>
      <c r="C90" s="2" t="s">
        <v>2488</v>
      </c>
      <c r="D90" s="5" t="s">
        <v>2490</v>
      </c>
      <c r="E90" s="4" t="s">
        <v>2491</v>
      </c>
      <c r="F90" s="6">
        <v>14236763</v>
      </c>
      <c r="G90" s="3">
        <v>14236763</v>
      </c>
      <c r="H90" s="7">
        <v>762120113274</v>
      </c>
      <c r="I90" s="8" t="s">
        <v>2659</v>
      </c>
      <c r="J90" s="4">
        <v>2</v>
      </c>
      <c r="K90" s="9">
        <v>6.99</v>
      </c>
      <c r="L90" s="9">
        <v>13.98</v>
      </c>
      <c r="M90" s="4" t="s">
        <v>2660</v>
      </c>
      <c r="N90" s="4" t="s">
        <v>2598</v>
      </c>
      <c r="O90" s="4" t="s">
        <v>2566</v>
      </c>
      <c r="P90" s="4" t="s">
        <v>2503</v>
      </c>
      <c r="Q90" s="4" t="s">
        <v>2504</v>
      </c>
      <c r="R90" s="4"/>
      <c r="S90" s="4"/>
      <c r="T90" s="4" t="str">
        <f>HYPERLINK("http://slimages.macys.com/is/image/MCY/19977390 ")</f>
        <v xml:space="preserve">http://slimages.macys.com/is/image/MCY/19977390 </v>
      </c>
    </row>
    <row r="91" spans="1:20" ht="15" customHeight="1" x14ac:dyDescent="0.25">
      <c r="A91" s="4" t="s">
        <v>2489</v>
      </c>
      <c r="B91" s="2" t="s">
        <v>2487</v>
      </c>
      <c r="C91" s="2" t="s">
        <v>2488</v>
      </c>
      <c r="D91" s="5" t="s">
        <v>2490</v>
      </c>
      <c r="E91" s="4" t="s">
        <v>2491</v>
      </c>
      <c r="F91" s="6">
        <v>14236763</v>
      </c>
      <c r="G91" s="3">
        <v>14236763</v>
      </c>
      <c r="H91" s="7">
        <v>733004723735</v>
      </c>
      <c r="I91" s="8" t="s">
        <v>831</v>
      </c>
      <c r="J91" s="4">
        <v>2</v>
      </c>
      <c r="K91" s="9">
        <v>20.99</v>
      </c>
      <c r="L91" s="9">
        <v>41.98</v>
      </c>
      <c r="M91" s="4" t="s">
        <v>3137</v>
      </c>
      <c r="N91" s="4" t="s">
        <v>2531</v>
      </c>
      <c r="O91" s="4"/>
      <c r="P91" s="4" t="s">
        <v>2503</v>
      </c>
      <c r="Q91" s="4" t="s">
        <v>2504</v>
      </c>
      <c r="R91" s="4"/>
      <c r="S91" s="4"/>
      <c r="T91" s="4" t="str">
        <f>HYPERLINK("http://slimages.macys.com/is/image/MCY/19977924 ")</f>
        <v xml:space="preserve">http://slimages.macys.com/is/image/MCY/19977924 </v>
      </c>
    </row>
    <row r="92" spans="1:20" ht="15" customHeight="1" x14ac:dyDescent="0.25">
      <c r="A92" s="4" t="s">
        <v>2489</v>
      </c>
      <c r="B92" s="2" t="s">
        <v>2487</v>
      </c>
      <c r="C92" s="2" t="s">
        <v>2488</v>
      </c>
      <c r="D92" s="5" t="s">
        <v>2490</v>
      </c>
      <c r="E92" s="4" t="s">
        <v>2491</v>
      </c>
      <c r="F92" s="6">
        <v>14236763</v>
      </c>
      <c r="G92" s="3">
        <v>14236763</v>
      </c>
      <c r="H92" s="7">
        <v>696114436578</v>
      </c>
      <c r="I92" s="8" t="s">
        <v>2874</v>
      </c>
      <c r="J92" s="4">
        <v>2</v>
      </c>
      <c r="K92" s="9">
        <v>13.99</v>
      </c>
      <c r="L92" s="9">
        <v>27.98</v>
      </c>
      <c r="M92" s="4" t="s">
        <v>2875</v>
      </c>
      <c r="N92" s="4" t="s">
        <v>2611</v>
      </c>
      <c r="O92" s="4"/>
      <c r="P92" s="4" t="s">
        <v>2569</v>
      </c>
      <c r="Q92" s="4" t="s">
        <v>2679</v>
      </c>
      <c r="R92" s="4"/>
      <c r="S92" s="4"/>
      <c r="T92" s="4" t="str">
        <f>HYPERLINK("http://slimages.macys.com/is/image/MCY/20604755 ")</f>
        <v xml:space="preserve">http://slimages.macys.com/is/image/MCY/20604755 </v>
      </c>
    </row>
    <row r="93" spans="1:20" ht="15" customHeight="1" x14ac:dyDescent="0.25">
      <c r="A93" s="4" t="s">
        <v>2489</v>
      </c>
      <c r="B93" s="2" t="s">
        <v>2487</v>
      </c>
      <c r="C93" s="2" t="s">
        <v>2488</v>
      </c>
      <c r="D93" s="5" t="s">
        <v>2490</v>
      </c>
      <c r="E93" s="4" t="s">
        <v>2491</v>
      </c>
      <c r="F93" s="6">
        <v>14236763</v>
      </c>
      <c r="G93" s="3">
        <v>14236763</v>
      </c>
      <c r="H93" s="7">
        <v>194257385420</v>
      </c>
      <c r="I93" s="8" t="s">
        <v>832</v>
      </c>
      <c r="J93" s="4">
        <v>2</v>
      </c>
      <c r="K93" s="9">
        <v>8.99</v>
      </c>
      <c r="L93" s="9">
        <v>17.98</v>
      </c>
      <c r="M93" s="4" t="s">
        <v>3116</v>
      </c>
      <c r="N93" s="4" t="s">
        <v>2567</v>
      </c>
      <c r="O93" s="4" t="s">
        <v>2519</v>
      </c>
      <c r="P93" s="4" t="s">
        <v>2499</v>
      </c>
      <c r="Q93" s="4" t="s">
        <v>2500</v>
      </c>
      <c r="R93" s="4"/>
      <c r="S93" s="4"/>
      <c r="T93" s="4" t="str">
        <f>HYPERLINK("http://slimages.macys.com/is/image/MCY/19933434 ")</f>
        <v xml:space="preserve">http://slimages.macys.com/is/image/MCY/19933434 </v>
      </c>
    </row>
    <row r="94" spans="1:20" ht="15" customHeight="1" x14ac:dyDescent="0.25">
      <c r="A94" s="4" t="s">
        <v>2489</v>
      </c>
      <c r="B94" s="2" t="s">
        <v>2487</v>
      </c>
      <c r="C94" s="2" t="s">
        <v>2488</v>
      </c>
      <c r="D94" s="5" t="s">
        <v>2490</v>
      </c>
      <c r="E94" s="4" t="s">
        <v>2491</v>
      </c>
      <c r="F94" s="6">
        <v>14236763</v>
      </c>
      <c r="G94" s="3">
        <v>14236763</v>
      </c>
      <c r="H94" s="7">
        <v>762120123525</v>
      </c>
      <c r="I94" s="8" t="s">
        <v>1995</v>
      </c>
      <c r="J94" s="4">
        <v>1</v>
      </c>
      <c r="K94" s="9">
        <v>6.99</v>
      </c>
      <c r="L94" s="9">
        <v>6.99</v>
      </c>
      <c r="M94" s="4" t="s">
        <v>1794</v>
      </c>
      <c r="N94" s="4" t="s">
        <v>2561</v>
      </c>
      <c r="O94" s="4" t="s">
        <v>2601</v>
      </c>
      <c r="P94" s="4" t="s">
        <v>2503</v>
      </c>
      <c r="Q94" s="4" t="s">
        <v>2504</v>
      </c>
      <c r="R94" s="4"/>
      <c r="S94" s="4"/>
      <c r="T94" s="4" t="str">
        <f>HYPERLINK("http://slimages.macys.com/is/image/MCY/20385731 ")</f>
        <v xml:space="preserve">http://slimages.macys.com/is/image/MCY/20385731 </v>
      </c>
    </row>
    <row r="95" spans="1:20" ht="15" customHeight="1" x14ac:dyDescent="0.25">
      <c r="A95" s="4" t="s">
        <v>2489</v>
      </c>
      <c r="B95" s="2" t="s">
        <v>2487</v>
      </c>
      <c r="C95" s="2" t="s">
        <v>2488</v>
      </c>
      <c r="D95" s="5" t="s">
        <v>2490</v>
      </c>
      <c r="E95" s="4" t="s">
        <v>2491</v>
      </c>
      <c r="F95" s="6">
        <v>14236763</v>
      </c>
      <c r="G95" s="3">
        <v>14236763</v>
      </c>
      <c r="H95" s="7">
        <v>194870569139</v>
      </c>
      <c r="I95" s="8" t="s">
        <v>1609</v>
      </c>
      <c r="J95" s="4">
        <v>1</v>
      </c>
      <c r="K95" s="9">
        <v>20.99</v>
      </c>
      <c r="L95" s="9">
        <v>20.99</v>
      </c>
      <c r="M95" s="4" t="s">
        <v>1608</v>
      </c>
      <c r="N95" s="4" t="s">
        <v>2497</v>
      </c>
      <c r="O95" s="4">
        <v>7</v>
      </c>
      <c r="P95" s="4" t="s">
        <v>2499</v>
      </c>
      <c r="Q95" s="4" t="s">
        <v>2663</v>
      </c>
      <c r="R95" s="4"/>
      <c r="S95" s="4"/>
      <c r="T95" s="4" t="str">
        <f>HYPERLINK("http://slimages.macys.com/is/image/MCY/21477635 ")</f>
        <v xml:space="preserve">http://slimages.macys.com/is/image/MCY/21477635 </v>
      </c>
    </row>
    <row r="96" spans="1:20" ht="15" customHeight="1" x14ac:dyDescent="0.25">
      <c r="A96" s="4" t="s">
        <v>2489</v>
      </c>
      <c r="B96" s="2" t="s">
        <v>2487</v>
      </c>
      <c r="C96" s="2" t="s">
        <v>2488</v>
      </c>
      <c r="D96" s="5" t="s">
        <v>2490</v>
      </c>
      <c r="E96" s="4" t="s">
        <v>2491</v>
      </c>
      <c r="F96" s="6">
        <v>14236763</v>
      </c>
      <c r="G96" s="3">
        <v>14236763</v>
      </c>
      <c r="H96" s="7">
        <v>194753985315</v>
      </c>
      <c r="I96" s="8" t="s">
        <v>833</v>
      </c>
      <c r="J96" s="4">
        <v>2</v>
      </c>
      <c r="K96" s="9">
        <v>54.5</v>
      </c>
      <c r="L96" s="9">
        <v>109</v>
      </c>
      <c r="M96" s="4" t="s">
        <v>2064</v>
      </c>
      <c r="N96" s="4" t="s">
        <v>2505</v>
      </c>
      <c r="O96" s="4">
        <v>7</v>
      </c>
      <c r="P96" s="4" t="s">
        <v>2714</v>
      </c>
      <c r="Q96" s="4" t="s">
        <v>2715</v>
      </c>
      <c r="R96" s="4"/>
      <c r="S96" s="4"/>
      <c r="T96" s="4" t="str">
        <f>HYPERLINK("http://slimages.macys.com/is/image/MCY/20114282 ")</f>
        <v xml:space="preserve">http://slimages.macys.com/is/image/MCY/20114282 </v>
      </c>
    </row>
    <row r="97" spans="1:20" ht="15" customHeight="1" x14ac:dyDescent="0.25">
      <c r="A97" s="4" t="s">
        <v>2489</v>
      </c>
      <c r="B97" s="2" t="s">
        <v>2487</v>
      </c>
      <c r="C97" s="2" t="s">
        <v>2488</v>
      </c>
      <c r="D97" s="5" t="s">
        <v>2490</v>
      </c>
      <c r="E97" s="4" t="s">
        <v>2491</v>
      </c>
      <c r="F97" s="6">
        <v>14236763</v>
      </c>
      <c r="G97" s="3">
        <v>14236763</v>
      </c>
      <c r="H97" s="7">
        <v>733004297670</v>
      </c>
      <c r="I97" s="8" t="s">
        <v>1938</v>
      </c>
      <c r="J97" s="4">
        <v>1</v>
      </c>
      <c r="K97" s="9">
        <v>27.99</v>
      </c>
      <c r="L97" s="9">
        <v>27.99</v>
      </c>
      <c r="M97" s="4" t="s">
        <v>2949</v>
      </c>
      <c r="N97" s="4" t="s">
        <v>2501</v>
      </c>
      <c r="O97" s="4" t="s">
        <v>2555</v>
      </c>
      <c r="P97" s="4" t="s">
        <v>2515</v>
      </c>
      <c r="Q97" s="4" t="s">
        <v>2672</v>
      </c>
      <c r="R97" s="4"/>
      <c r="S97" s="4"/>
      <c r="T97" s="4" t="str">
        <f>HYPERLINK("http://slimages.macys.com/is/image/MCY/20143279 ")</f>
        <v xml:space="preserve">http://slimages.macys.com/is/image/MCY/20143279 </v>
      </c>
    </row>
    <row r="98" spans="1:20" ht="15" customHeight="1" x14ac:dyDescent="0.25">
      <c r="A98" s="4" t="s">
        <v>2489</v>
      </c>
      <c r="B98" s="2" t="s">
        <v>2487</v>
      </c>
      <c r="C98" s="2" t="s">
        <v>2488</v>
      </c>
      <c r="D98" s="5" t="s">
        <v>2490</v>
      </c>
      <c r="E98" s="4" t="s">
        <v>2491</v>
      </c>
      <c r="F98" s="6">
        <v>14236763</v>
      </c>
      <c r="G98" s="3">
        <v>14236763</v>
      </c>
      <c r="H98" s="7">
        <v>733004297847</v>
      </c>
      <c r="I98" s="8" t="s">
        <v>834</v>
      </c>
      <c r="J98" s="4">
        <v>1</v>
      </c>
      <c r="K98" s="9">
        <v>27.99</v>
      </c>
      <c r="L98" s="9">
        <v>27.99</v>
      </c>
      <c r="M98" s="4" t="s">
        <v>2949</v>
      </c>
      <c r="N98" s="4" t="s">
        <v>2561</v>
      </c>
      <c r="O98" s="4" t="s">
        <v>2498</v>
      </c>
      <c r="P98" s="4" t="s">
        <v>2515</v>
      </c>
      <c r="Q98" s="4" t="s">
        <v>2672</v>
      </c>
      <c r="R98" s="4"/>
      <c r="S98" s="4"/>
      <c r="T98" s="4" t="str">
        <f>HYPERLINK("http://slimages.macys.com/is/image/MCY/20143278 ")</f>
        <v xml:space="preserve">http://slimages.macys.com/is/image/MCY/20143278 </v>
      </c>
    </row>
    <row r="99" spans="1:20" ht="15" customHeight="1" x14ac:dyDescent="0.25">
      <c r="A99" s="4" t="s">
        <v>2489</v>
      </c>
      <c r="B99" s="2" t="s">
        <v>2487</v>
      </c>
      <c r="C99" s="2" t="s">
        <v>2488</v>
      </c>
      <c r="D99" s="5" t="s">
        <v>2490</v>
      </c>
      <c r="E99" s="4" t="s">
        <v>2491</v>
      </c>
      <c r="F99" s="6">
        <v>14236763</v>
      </c>
      <c r="G99" s="3">
        <v>14236763</v>
      </c>
      <c r="H99" s="7">
        <v>826422181161</v>
      </c>
      <c r="I99" s="8" t="s">
        <v>835</v>
      </c>
      <c r="J99" s="4">
        <v>1</v>
      </c>
      <c r="K99" s="9">
        <v>42.99</v>
      </c>
      <c r="L99" s="9">
        <v>42.99</v>
      </c>
      <c r="M99" s="4" t="s">
        <v>1531</v>
      </c>
      <c r="N99" s="4" t="s">
        <v>2501</v>
      </c>
      <c r="O99" s="4" t="s">
        <v>2555</v>
      </c>
      <c r="P99" s="4" t="s">
        <v>2536</v>
      </c>
      <c r="Q99" s="4" t="s">
        <v>3100</v>
      </c>
      <c r="R99" s="4"/>
      <c r="S99" s="4"/>
      <c r="T99" s="4" t="str">
        <f>HYPERLINK("http://slimages.macys.com/is/image/MCY/20229703 ")</f>
        <v xml:space="preserve">http://slimages.macys.com/is/image/MCY/20229703 </v>
      </c>
    </row>
    <row r="100" spans="1:20" ht="15" customHeight="1" x14ac:dyDescent="0.25">
      <c r="A100" s="4" t="s">
        <v>2489</v>
      </c>
      <c r="B100" s="2" t="s">
        <v>2487</v>
      </c>
      <c r="C100" s="2" t="s">
        <v>2488</v>
      </c>
      <c r="D100" s="5" t="s">
        <v>2490</v>
      </c>
      <c r="E100" s="4" t="s">
        <v>2491</v>
      </c>
      <c r="F100" s="6">
        <v>14236763</v>
      </c>
      <c r="G100" s="3">
        <v>14236763</v>
      </c>
      <c r="H100" s="7">
        <v>733004085963</v>
      </c>
      <c r="I100" s="8" t="s">
        <v>2037</v>
      </c>
      <c r="J100" s="4">
        <v>5</v>
      </c>
      <c r="K100" s="9">
        <v>21.99</v>
      </c>
      <c r="L100" s="9">
        <v>109.95</v>
      </c>
      <c r="M100" s="4" t="s">
        <v>2038</v>
      </c>
      <c r="N100" s="4" t="s">
        <v>2567</v>
      </c>
      <c r="O100" s="4" t="s">
        <v>2555</v>
      </c>
      <c r="P100" s="4" t="s">
        <v>2543</v>
      </c>
      <c r="Q100" s="4" t="s">
        <v>2528</v>
      </c>
      <c r="R100" s="4"/>
      <c r="S100" s="4"/>
      <c r="T100" s="4" t="str">
        <f>HYPERLINK("http://slimages.macys.com/is/image/MCY/19965740 ")</f>
        <v xml:space="preserve">http://slimages.macys.com/is/image/MCY/19965740 </v>
      </c>
    </row>
    <row r="101" spans="1:20" ht="15" customHeight="1" x14ac:dyDescent="0.25">
      <c r="A101" s="4" t="s">
        <v>2489</v>
      </c>
      <c r="B101" s="2" t="s">
        <v>2487</v>
      </c>
      <c r="C101" s="2" t="s">
        <v>2488</v>
      </c>
      <c r="D101" s="5" t="s">
        <v>2490</v>
      </c>
      <c r="E101" s="4" t="s">
        <v>2491</v>
      </c>
      <c r="F101" s="6">
        <v>14236763</v>
      </c>
      <c r="G101" s="3">
        <v>14236763</v>
      </c>
      <c r="H101" s="7">
        <v>194257564986</v>
      </c>
      <c r="I101" s="8" t="s">
        <v>1806</v>
      </c>
      <c r="J101" s="4">
        <v>1</v>
      </c>
      <c r="K101" s="9">
        <v>14.99</v>
      </c>
      <c r="L101" s="9">
        <v>14.99</v>
      </c>
      <c r="M101" s="4" t="s">
        <v>3279</v>
      </c>
      <c r="N101" s="4" t="s">
        <v>2497</v>
      </c>
      <c r="O101" s="4" t="s">
        <v>2524</v>
      </c>
      <c r="P101" s="4" t="s">
        <v>2619</v>
      </c>
      <c r="Q101" s="4" t="s">
        <v>2654</v>
      </c>
      <c r="R101" s="4"/>
      <c r="S101" s="4"/>
      <c r="T101" s="4" t="str">
        <f>HYPERLINK("http://slimages.macys.com/is/image/MCY/19941193 ")</f>
        <v xml:space="preserve">http://slimages.macys.com/is/image/MCY/19941193 </v>
      </c>
    </row>
    <row r="102" spans="1:20" ht="15" customHeight="1" x14ac:dyDescent="0.25">
      <c r="A102" s="4" t="s">
        <v>2489</v>
      </c>
      <c r="B102" s="2" t="s">
        <v>2487</v>
      </c>
      <c r="C102" s="2" t="s">
        <v>2488</v>
      </c>
      <c r="D102" s="5" t="s">
        <v>2490</v>
      </c>
      <c r="E102" s="4" t="s">
        <v>2491</v>
      </c>
      <c r="F102" s="6">
        <v>14236763</v>
      </c>
      <c r="G102" s="3">
        <v>14236763</v>
      </c>
      <c r="H102" s="7">
        <v>762120160858</v>
      </c>
      <c r="I102" s="8" t="s">
        <v>2717</v>
      </c>
      <c r="J102" s="4">
        <v>1</v>
      </c>
      <c r="K102" s="9">
        <v>7.99</v>
      </c>
      <c r="L102" s="9">
        <v>7.99</v>
      </c>
      <c r="M102" s="4" t="s">
        <v>2627</v>
      </c>
      <c r="N102" s="4" t="s">
        <v>2514</v>
      </c>
      <c r="O102" s="4" t="s">
        <v>2629</v>
      </c>
      <c r="P102" s="4" t="s">
        <v>2602</v>
      </c>
      <c r="Q102" s="4" t="s">
        <v>2528</v>
      </c>
      <c r="R102" s="4"/>
      <c r="S102" s="4"/>
      <c r="T102" s="4" t="str">
        <f>HYPERLINK("http://slimages.macys.com/is/image/MCY/20819718 ")</f>
        <v xml:space="preserve">http://slimages.macys.com/is/image/MCY/20819718 </v>
      </c>
    </row>
    <row r="103" spans="1:20" ht="15" customHeight="1" x14ac:dyDescent="0.25">
      <c r="A103" s="4" t="s">
        <v>2489</v>
      </c>
      <c r="B103" s="2" t="s">
        <v>2487</v>
      </c>
      <c r="C103" s="2" t="s">
        <v>2488</v>
      </c>
      <c r="D103" s="5" t="s">
        <v>2490</v>
      </c>
      <c r="E103" s="4" t="s">
        <v>2491</v>
      </c>
      <c r="F103" s="6">
        <v>14236763</v>
      </c>
      <c r="G103" s="3">
        <v>14236763</v>
      </c>
      <c r="H103" s="7">
        <v>762120025201</v>
      </c>
      <c r="I103" s="8" t="s">
        <v>1584</v>
      </c>
      <c r="J103" s="4">
        <v>1</v>
      </c>
      <c r="K103" s="9">
        <v>26.99</v>
      </c>
      <c r="L103" s="9">
        <v>26.99</v>
      </c>
      <c r="M103" s="4" t="s">
        <v>2696</v>
      </c>
      <c r="N103" s="4" t="s">
        <v>2561</v>
      </c>
      <c r="O103" s="4">
        <v>5</v>
      </c>
      <c r="P103" s="4" t="s">
        <v>2515</v>
      </c>
      <c r="Q103" s="4" t="s">
        <v>2672</v>
      </c>
      <c r="R103" s="4"/>
      <c r="S103" s="4"/>
      <c r="T103" s="4" t="str">
        <f>HYPERLINK("http://slimages.macys.com/is/image/MCY/20530918 ")</f>
        <v xml:space="preserve">http://slimages.macys.com/is/image/MCY/20530918 </v>
      </c>
    </row>
    <row r="104" spans="1:20" ht="15" customHeight="1" x14ac:dyDescent="0.25">
      <c r="A104" s="4" t="s">
        <v>2489</v>
      </c>
      <c r="B104" s="2" t="s">
        <v>2487</v>
      </c>
      <c r="C104" s="2" t="s">
        <v>2488</v>
      </c>
      <c r="D104" s="5" t="s">
        <v>2490</v>
      </c>
      <c r="E104" s="4" t="s">
        <v>2491</v>
      </c>
      <c r="F104" s="6">
        <v>14236763</v>
      </c>
      <c r="G104" s="3">
        <v>14236763</v>
      </c>
      <c r="H104" s="7">
        <v>733004040153</v>
      </c>
      <c r="I104" s="8" t="s">
        <v>836</v>
      </c>
      <c r="J104" s="4">
        <v>1</v>
      </c>
      <c r="K104" s="9">
        <v>12.99</v>
      </c>
      <c r="L104" s="9">
        <v>12.99</v>
      </c>
      <c r="M104" s="4" t="s">
        <v>2724</v>
      </c>
      <c r="N104" s="4" t="s">
        <v>2632</v>
      </c>
      <c r="O104" s="4" t="s">
        <v>2628</v>
      </c>
      <c r="P104" s="4" t="s">
        <v>2602</v>
      </c>
      <c r="Q104" s="4" t="s">
        <v>2528</v>
      </c>
      <c r="R104" s="4"/>
      <c r="S104" s="4"/>
      <c r="T104" s="4" t="str">
        <f>HYPERLINK("http://slimages.macys.com/is/image/MCY/19944389 ")</f>
        <v xml:space="preserve">http://slimages.macys.com/is/image/MCY/19944389 </v>
      </c>
    </row>
    <row r="105" spans="1:20" ht="15" customHeight="1" x14ac:dyDescent="0.25">
      <c r="A105" s="4" t="s">
        <v>2489</v>
      </c>
      <c r="B105" s="2" t="s">
        <v>2487</v>
      </c>
      <c r="C105" s="2" t="s">
        <v>2488</v>
      </c>
      <c r="D105" s="5" t="s">
        <v>2490</v>
      </c>
      <c r="E105" s="4" t="s">
        <v>2491</v>
      </c>
      <c r="F105" s="6">
        <v>14236763</v>
      </c>
      <c r="G105" s="3">
        <v>14236763</v>
      </c>
      <c r="H105" s="7">
        <v>194257595331</v>
      </c>
      <c r="I105" s="8" t="s">
        <v>3343</v>
      </c>
      <c r="J105" s="4">
        <v>1</v>
      </c>
      <c r="K105" s="9">
        <v>12.99</v>
      </c>
      <c r="L105" s="9">
        <v>12.99</v>
      </c>
      <c r="M105" s="4" t="s">
        <v>3344</v>
      </c>
      <c r="N105" s="4" t="s">
        <v>2531</v>
      </c>
      <c r="O105" s="4">
        <v>4</v>
      </c>
      <c r="P105" s="4" t="s">
        <v>2619</v>
      </c>
      <c r="Q105" s="4" t="s">
        <v>2654</v>
      </c>
      <c r="R105" s="4"/>
      <c r="S105" s="4"/>
      <c r="T105" s="4" t="str">
        <f>HYPERLINK("http://slimages.macys.com/is/image/MCY/20016823 ")</f>
        <v xml:space="preserve">http://slimages.macys.com/is/image/MCY/20016823 </v>
      </c>
    </row>
    <row r="106" spans="1:20" ht="15" customHeight="1" x14ac:dyDescent="0.25">
      <c r="A106" s="4" t="s">
        <v>2489</v>
      </c>
      <c r="B106" s="2" t="s">
        <v>2487</v>
      </c>
      <c r="C106" s="2" t="s">
        <v>2488</v>
      </c>
      <c r="D106" s="5" t="s">
        <v>2490</v>
      </c>
      <c r="E106" s="4" t="s">
        <v>2491</v>
      </c>
      <c r="F106" s="6">
        <v>14236763</v>
      </c>
      <c r="G106" s="3">
        <v>14236763</v>
      </c>
      <c r="H106" s="7">
        <v>762120086554</v>
      </c>
      <c r="I106" s="8" t="s">
        <v>2079</v>
      </c>
      <c r="J106" s="4">
        <v>1</v>
      </c>
      <c r="K106" s="9">
        <v>7.99</v>
      </c>
      <c r="L106" s="9">
        <v>7.99</v>
      </c>
      <c r="M106" s="4" t="s">
        <v>1776</v>
      </c>
      <c r="N106" s="4" t="s">
        <v>2638</v>
      </c>
      <c r="O106" s="4" t="s">
        <v>2653</v>
      </c>
      <c r="P106" s="4" t="s">
        <v>2602</v>
      </c>
      <c r="Q106" s="4" t="s">
        <v>2528</v>
      </c>
      <c r="R106" s="4"/>
      <c r="S106" s="4"/>
      <c r="T106" s="4" t="str">
        <f>HYPERLINK("http://slimages.macys.com/is/image/MCY/20691845 ")</f>
        <v xml:space="preserve">http://slimages.macys.com/is/image/MCY/20691845 </v>
      </c>
    </row>
    <row r="107" spans="1:20" ht="15" customHeight="1" x14ac:dyDescent="0.25">
      <c r="A107" s="4" t="s">
        <v>2489</v>
      </c>
      <c r="B107" s="2" t="s">
        <v>2487</v>
      </c>
      <c r="C107" s="2" t="s">
        <v>2488</v>
      </c>
      <c r="D107" s="5" t="s">
        <v>2490</v>
      </c>
      <c r="E107" s="4" t="s">
        <v>2491</v>
      </c>
      <c r="F107" s="6">
        <v>14236763</v>
      </c>
      <c r="G107" s="3">
        <v>14236763</v>
      </c>
      <c r="H107" s="7">
        <v>733004782787</v>
      </c>
      <c r="I107" s="8" t="s">
        <v>837</v>
      </c>
      <c r="J107" s="4">
        <v>1</v>
      </c>
      <c r="K107" s="9">
        <v>7.99</v>
      </c>
      <c r="L107" s="9">
        <v>7.99</v>
      </c>
      <c r="M107" s="4" t="s">
        <v>1568</v>
      </c>
      <c r="N107" s="4" t="s">
        <v>2638</v>
      </c>
      <c r="O107" s="4">
        <v>6</v>
      </c>
      <c r="P107" s="4" t="s">
        <v>2602</v>
      </c>
      <c r="Q107" s="4" t="s">
        <v>2528</v>
      </c>
      <c r="R107" s="4"/>
      <c r="S107" s="4"/>
      <c r="T107" s="4" t="str">
        <f>HYPERLINK("http://slimages.macys.com/is/image/MCY/1040305 ")</f>
        <v xml:space="preserve">http://slimages.macys.com/is/image/MCY/1040305 </v>
      </c>
    </row>
    <row r="108" spans="1:20" ht="15" customHeight="1" x14ac:dyDescent="0.25">
      <c r="A108" s="4" t="s">
        <v>2489</v>
      </c>
      <c r="B108" s="2" t="s">
        <v>2487</v>
      </c>
      <c r="C108" s="2" t="s">
        <v>2488</v>
      </c>
      <c r="D108" s="5" t="s">
        <v>2490</v>
      </c>
      <c r="E108" s="4" t="s">
        <v>2491</v>
      </c>
      <c r="F108" s="6">
        <v>14236763</v>
      </c>
      <c r="G108" s="3">
        <v>14236763</v>
      </c>
      <c r="H108" s="7">
        <v>733004780912</v>
      </c>
      <c r="I108" s="8" t="s">
        <v>3213</v>
      </c>
      <c r="J108" s="4">
        <v>1</v>
      </c>
      <c r="K108" s="9">
        <v>11.99</v>
      </c>
      <c r="L108" s="9">
        <v>11.99</v>
      </c>
      <c r="M108" s="4" t="s">
        <v>3083</v>
      </c>
      <c r="N108" s="4" t="s">
        <v>2530</v>
      </c>
      <c r="O108" s="4" t="s">
        <v>2650</v>
      </c>
      <c r="P108" s="4" t="s">
        <v>2602</v>
      </c>
      <c r="Q108" s="4" t="s">
        <v>2528</v>
      </c>
      <c r="R108" s="4"/>
      <c r="S108" s="4"/>
      <c r="T108" s="4" t="str">
        <f>HYPERLINK("http://slimages.macys.com/is/image/MCY/20450174 ")</f>
        <v xml:space="preserve">http://slimages.macys.com/is/image/MCY/20450174 </v>
      </c>
    </row>
    <row r="109" spans="1:20" ht="15" customHeight="1" x14ac:dyDescent="0.25">
      <c r="A109" s="4" t="s">
        <v>2489</v>
      </c>
      <c r="B109" s="2" t="s">
        <v>2487</v>
      </c>
      <c r="C109" s="2" t="s">
        <v>2488</v>
      </c>
      <c r="D109" s="5" t="s">
        <v>2490</v>
      </c>
      <c r="E109" s="4" t="s">
        <v>2491</v>
      </c>
      <c r="F109" s="6">
        <v>14236763</v>
      </c>
      <c r="G109" s="3">
        <v>14236763</v>
      </c>
      <c r="H109" s="7">
        <v>733004085949</v>
      </c>
      <c r="I109" s="8" t="s">
        <v>838</v>
      </c>
      <c r="J109" s="4">
        <v>1</v>
      </c>
      <c r="K109" s="9">
        <v>21.99</v>
      </c>
      <c r="L109" s="9">
        <v>21.99</v>
      </c>
      <c r="M109" s="4" t="s">
        <v>1573</v>
      </c>
      <c r="N109" s="4" t="s">
        <v>2567</v>
      </c>
      <c r="O109" s="4" t="s">
        <v>2671</v>
      </c>
      <c r="P109" s="4" t="s">
        <v>2543</v>
      </c>
      <c r="Q109" s="4" t="s">
        <v>2528</v>
      </c>
      <c r="R109" s="4"/>
      <c r="S109" s="4"/>
      <c r="T109" s="4" t="str">
        <f>HYPERLINK("http://slimages.macys.com/is/image/MCY/19988444 ")</f>
        <v xml:space="preserve">http://slimages.macys.com/is/image/MCY/19988444 </v>
      </c>
    </row>
    <row r="110" spans="1:20" ht="15" customHeight="1" x14ac:dyDescent="0.25">
      <c r="A110" s="4" t="s">
        <v>2489</v>
      </c>
      <c r="B110" s="2" t="s">
        <v>2487</v>
      </c>
      <c r="C110" s="2" t="s">
        <v>2488</v>
      </c>
      <c r="D110" s="5" t="s">
        <v>2490</v>
      </c>
      <c r="E110" s="4" t="s">
        <v>2491</v>
      </c>
      <c r="F110" s="6">
        <v>14236763</v>
      </c>
      <c r="G110" s="3">
        <v>14236763</v>
      </c>
      <c r="H110" s="7">
        <v>733004745003</v>
      </c>
      <c r="I110" s="8" t="s">
        <v>839</v>
      </c>
      <c r="J110" s="4">
        <v>1</v>
      </c>
      <c r="K110" s="9">
        <v>7.99</v>
      </c>
      <c r="L110" s="9">
        <v>7.99</v>
      </c>
      <c r="M110" s="4" t="s">
        <v>840</v>
      </c>
      <c r="N110" s="4" t="s">
        <v>2501</v>
      </c>
      <c r="O110" s="4" t="s">
        <v>2650</v>
      </c>
      <c r="P110" s="4" t="s">
        <v>2503</v>
      </c>
      <c r="Q110" s="4" t="s">
        <v>2504</v>
      </c>
      <c r="R110" s="4"/>
      <c r="S110" s="4"/>
      <c r="T110" s="4" t="str">
        <f>HYPERLINK("http://slimages.macys.com/is/image/MCY/19977811 ")</f>
        <v xml:space="preserve">http://slimages.macys.com/is/image/MCY/19977811 </v>
      </c>
    </row>
    <row r="111" spans="1:20" ht="15" customHeight="1" x14ac:dyDescent="0.25">
      <c r="A111" s="4" t="s">
        <v>2489</v>
      </c>
      <c r="B111" s="2" t="s">
        <v>2487</v>
      </c>
      <c r="C111" s="2" t="s">
        <v>2488</v>
      </c>
      <c r="D111" s="5" t="s">
        <v>2490</v>
      </c>
      <c r="E111" s="4" t="s">
        <v>2491</v>
      </c>
      <c r="F111" s="6">
        <v>14236763</v>
      </c>
      <c r="G111" s="3">
        <v>14236763</v>
      </c>
      <c r="H111" s="7">
        <v>194257616883</v>
      </c>
      <c r="I111" s="8" t="s">
        <v>1836</v>
      </c>
      <c r="J111" s="4">
        <v>1</v>
      </c>
      <c r="K111" s="9">
        <v>12.99</v>
      </c>
      <c r="L111" s="9">
        <v>12.99</v>
      </c>
      <c r="M111" s="4" t="s">
        <v>1837</v>
      </c>
      <c r="N111" s="4" t="s">
        <v>2561</v>
      </c>
      <c r="O111" s="4" t="s">
        <v>2519</v>
      </c>
      <c r="P111" s="4" t="s">
        <v>2619</v>
      </c>
      <c r="Q111" s="4" t="s">
        <v>2500</v>
      </c>
      <c r="R111" s="4"/>
      <c r="S111" s="4"/>
      <c r="T111" s="4"/>
    </row>
    <row r="112" spans="1:20" ht="15" customHeight="1" x14ac:dyDescent="0.25">
      <c r="A112" s="4" t="s">
        <v>2489</v>
      </c>
      <c r="B112" s="2" t="s">
        <v>2487</v>
      </c>
      <c r="C112" s="2" t="s">
        <v>2488</v>
      </c>
      <c r="D112" s="5" t="s">
        <v>2490</v>
      </c>
      <c r="E112" s="4" t="s">
        <v>2491</v>
      </c>
      <c r="F112" s="6">
        <v>14236763</v>
      </c>
      <c r="G112" s="3">
        <v>14236763</v>
      </c>
      <c r="H112" s="7">
        <v>195883817576</v>
      </c>
      <c r="I112" s="8" t="s">
        <v>3195</v>
      </c>
      <c r="J112" s="4">
        <v>1</v>
      </c>
      <c r="K112" s="9">
        <v>18.989999999999998</v>
      </c>
      <c r="L112" s="9">
        <v>18.989999999999998</v>
      </c>
      <c r="M112" s="4" t="s">
        <v>3196</v>
      </c>
      <c r="N112" s="4" t="s">
        <v>2728</v>
      </c>
      <c r="O112" s="4" t="s">
        <v>2653</v>
      </c>
      <c r="P112" s="4" t="s">
        <v>2536</v>
      </c>
      <c r="Q112" s="4" t="s">
        <v>2944</v>
      </c>
      <c r="R112" s="4"/>
      <c r="S112" s="4"/>
      <c r="T112" s="4"/>
    </row>
    <row r="113" spans="1:20" ht="15" customHeight="1" x14ac:dyDescent="0.25">
      <c r="A113" s="4" t="s">
        <v>2489</v>
      </c>
      <c r="B113" s="2" t="s">
        <v>2487</v>
      </c>
      <c r="C113" s="2" t="s">
        <v>2488</v>
      </c>
      <c r="D113" s="5" t="s">
        <v>2490</v>
      </c>
      <c r="E113" s="4" t="s">
        <v>2491</v>
      </c>
      <c r="F113" s="6">
        <v>14236763</v>
      </c>
      <c r="G113" s="3">
        <v>14236763</v>
      </c>
      <c r="H113" s="7">
        <v>195883817736</v>
      </c>
      <c r="I113" s="8" t="s">
        <v>3258</v>
      </c>
      <c r="J113" s="4">
        <v>1</v>
      </c>
      <c r="K113" s="9">
        <v>18.989999999999998</v>
      </c>
      <c r="L113" s="9">
        <v>18.989999999999998</v>
      </c>
      <c r="M113" s="4" t="s">
        <v>3259</v>
      </c>
      <c r="N113" s="4" t="s">
        <v>2642</v>
      </c>
      <c r="O113" s="4">
        <v>5</v>
      </c>
      <c r="P113" s="4" t="s">
        <v>2536</v>
      </c>
      <c r="Q113" s="4" t="s">
        <v>2944</v>
      </c>
      <c r="R113" s="4"/>
      <c r="S113" s="4"/>
      <c r="T113" s="4"/>
    </row>
    <row r="114" spans="1:20" ht="15" customHeight="1" x14ac:dyDescent="0.25">
      <c r="A114" s="4" t="s">
        <v>2489</v>
      </c>
      <c r="B114" s="2" t="s">
        <v>2487</v>
      </c>
      <c r="C114" s="2" t="s">
        <v>2488</v>
      </c>
      <c r="D114" s="5" t="s">
        <v>2490</v>
      </c>
      <c r="E114" s="4" t="s">
        <v>2491</v>
      </c>
      <c r="F114" s="6">
        <v>14236763</v>
      </c>
      <c r="G114" s="3">
        <v>14236763</v>
      </c>
      <c r="H114" s="7">
        <v>195883504926</v>
      </c>
      <c r="I114" s="8" t="s">
        <v>841</v>
      </c>
      <c r="J114" s="4">
        <v>1</v>
      </c>
      <c r="K114" s="9">
        <v>14.99</v>
      </c>
      <c r="L114" s="9">
        <v>14.99</v>
      </c>
      <c r="M114" s="4" t="s">
        <v>3361</v>
      </c>
      <c r="N114" s="4" t="s">
        <v>2501</v>
      </c>
      <c r="O114" s="4">
        <v>5</v>
      </c>
      <c r="P114" s="4" t="s">
        <v>2536</v>
      </c>
      <c r="Q114" s="4" t="s">
        <v>2944</v>
      </c>
      <c r="R114" s="4"/>
      <c r="S114" s="4"/>
      <c r="T114" s="4" t="str">
        <f>HYPERLINK("http://slimages.macys.com/is/image/MCY/20191117 ")</f>
        <v xml:space="preserve">http://slimages.macys.com/is/image/MCY/20191117 </v>
      </c>
    </row>
    <row r="115" spans="1:20" ht="15" customHeight="1" x14ac:dyDescent="0.25">
      <c r="A115" s="4" t="s">
        <v>2489</v>
      </c>
      <c r="B115" s="2" t="s">
        <v>2487</v>
      </c>
      <c r="C115" s="2" t="s">
        <v>2488</v>
      </c>
      <c r="D115" s="5" t="s">
        <v>2490</v>
      </c>
      <c r="E115" s="4" t="s">
        <v>2491</v>
      </c>
      <c r="F115" s="6">
        <v>14236763</v>
      </c>
      <c r="G115" s="3">
        <v>14236763</v>
      </c>
      <c r="H115" s="7">
        <v>46094700433</v>
      </c>
      <c r="I115" s="8" t="s">
        <v>3328</v>
      </c>
      <c r="J115" s="4">
        <v>1</v>
      </c>
      <c r="K115" s="9">
        <v>4.99</v>
      </c>
      <c r="L115" s="9">
        <v>4.99</v>
      </c>
      <c r="M115" s="4" t="s">
        <v>3329</v>
      </c>
      <c r="N115" s="4" t="s">
        <v>2514</v>
      </c>
      <c r="O115" s="4" t="s">
        <v>2498</v>
      </c>
      <c r="P115" s="4" t="s">
        <v>2666</v>
      </c>
      <c r="Q115" s="4" t="s">
        <v>2667</v>
      </c>
      <c r="R115" s="4" t="s">
        <v>2552</v>
      </c>
      <c r="S115" s="4" t="s">
        <v>3157</v>
      </c>
      <c r="T115" s="4" t="str">
        <f>HYPERLINK("http://slimages.macys.com/is/image/MCY/9378229 ")</f>
        <v xml:space="preserve">http://slimages.macys.com/is/image/MCY/9378229 </v>
      </c>
    </row>
    <row r="116" spans="1:20" ht="15" customHeight="1" x14ac:dyDescent="0.25">
      <c r="A116" s="4" t="s">
        <v>2489</v>
      </c>
      <c r="B116" s="2" t="s">
        <v>2487</v>
      </c>
      <c r="C116" s="2" t="s">
        <v>2488</v>
      </c>
      <c r="D116" s="5" t="s">
        <v>2490</v>
      </c>
      <c r="E116" s="4" t="s">
        <v>2491</v>
      </c>
      <c r="F116" s="6">
        <v>14236763</v>
      </c>
      <c r="G116" s="3">
        <v>14236763</v>
      </c>
      <c r="H116" s="7">
        <v>762120023672</v>
      </c>
      <c r="I116" s="8" t="s">
        <v>842</v>
      </c>
      <c r="J116" s="4">
        <v>1</v>
      </c>
      <c r="K116" s="9">
        <v>7.99</v>
      </c>
      <c r="L116" s="9">
        <v>7.99</v>
      </c>
      <c r="M116" s="4" t="s">
        <v>3024</v>
      </c>
      <c r="N116" s="4" t="s">
        <v>2598</v>
      </c>
      <c r="O116" s="4" t="s">
        <v>2629</v>
      </c>
      <c r="P116" s="4" t="s">
        <v>2503</v>
      </c>
      <c r="Q116" s="4" t="s">
        <v>2504</v>
      </c>
      <c r="R116" s="4"/>
      <c r="S116" s="4"/>
      <c r="T116" s="4" t="str">
        <f>HYPERLINK("http://slimages.macys.com/is/image/MCY/19977451 ")</f>
        <v xml:space="preserve">http://slimages.macys.com/is/image/MCY/19977451 </v>
      </c>
    </row>
    <row r="117" spans="1:20" ht="15" customHeight="1" x14ac:dyDescent="0.25">
      <c r="A117" s="4" t="s">
        <v>2489</v>
      </c>
      <c r="B117" s="2" t="s">
        <v>2487</v>
      </c>
      <c r="C117" s="2" t="s">
        <v>2488</v>
      </c>
      <c r="D117" s="5" t="s">
        <v>2490</v>
      </c>
      <c r="E117" s="4" t="s">
        <v>2491</v>
      </c>
      <c r="F117" s="6">
        <v>14236763</v>
      </c>
      <c r="G117" s="3">
        <v>14236763</v>
      </c>
      <c r="H117" s="7">
        <v>194257595362</v>
      </c>
      <c r="I117" s="8" t="s">
        <v>1567</v>
      </c>
      <c r="J117" s="4">
        <v>1</v>
      </c>
      <c r="K117" s="9">
        <v>12.99</v>
      </c>
      <c r="L117" s="9">
        <v>12.99</v>
      </c>
      <c r="M117" s="4" t="s">
        <v>3344</v>
      </c>
      <c r="N117" s="4" t="s">
        <v>2531</v>
      </c>
      <c r="O117" s="4" t="s">
        <v>2653</v>
      </c>
      <c r="P117" s="4" t="s">
        <v>2619</v>
      </c>
      <c r="Q117" s="4" t="s">
        <v>2654</v>
      </c>
      <c r="R117" s="4"/>
      <c r="S117" s="4"/>
      <c r="T117" s="4" t="str">
        <f>HYPERLINK("http://slimages.macys.com/is/image/MCY/20016823 ")</f>
        <v xml:space="preserve">http://slimages.macys.com/is/image/MCY/20016823 </v>
      </c>
    </row>
    <row r="118" spans="1:20" ht="15" customHeight="1" x14ac:dyDescent="0.25">
      <c r="A118" s="4" t="s">
        <v>2489</v>
      </c>
      <c r="B118" s="2" t="s">
        <v>2487</v>
      </c>
      <c r="C118" s="2" t="s">
        <v>2488</v>
      </c>
      <c r="D118" s="5" t="s">
        <v>2490</v>
      </c>
      <c r="E118" s="4" t="s">
        <v>2491</v>
      </c>
      <c r="F118" s="6">
        <v>14236763</v>
      </c>
      <c r="G118" s="3">
        <v>14236763</v>
      </c>
      <c r="H118" s="7">
        <v>733003644093</v>
      </c>
      <c r="I118" s="8" t="s">
        <v>1958</v>
      </c>
      <c r="J118" s="4">
        <v>1</v>
      </c>
      <c r="K118" s="9">
        <v>15.99</v>
      </c>
      <c r="L118" s="9">
        <v>15.99</v>
      </c>
      <c r="M118" s="4" t="s">
        <v>2998</v>
      </c>
      <c r="N118" s="4" t="s">
        <v>2530</v>
      </c>
      <c r="O118" s="4">
        <v>5</v>
      </c>
      <c r="P118" s="4" t="s">
        <v>2515</v>
      </c>
      <c r="Q118" s="4" t="s">
        <v>2972</v>
      </c>
      <c r="R118" s="4"/>
      <c r="S118" s="4"/>
      <c r="T118" s="4" t="str">
        <f>HYPERLINK("http://slimages.macys.com/is/image/MCY/20008061 ")</f>
        <v xml:space="preserve">http://slimages.macys.com/is/image/MCY/20008061 </v>
      </c>
    </row>
    <row r="119" spans="1:20" ht="15" customHeight="1" x14ac:dyDescent="0.25">
      <c r="A119" s="4" t="s">
        <v>2489</v>
      </c>
      <c r="B119" s="2" t="s">
        <v>2487</v>
      </c>
      <c r="C119" s="2" t="s">
        <v>2488</v>
      </c>
      <c r="D119" s="5" t="s">
        <v>2490</v>
      </c>
      <c r="E119" s="4" t="s">
        <v>2491</v>
      </c>
      <c r="F119" s="6">
        <v>14236763</v>
      </c>
      <c r="G119" s="3">
        <v>14236763</v>
      </c>
      <c r="H119" s="7">
        <v>733004040320</v>
      </c>
      <c r="I119" s="8" t="s">
        <v>843</v>
      </c>
      <c r="J119" s="4">
        <v>1</v>
      </c>
      <c r="K119" s="9">
        <v>19.989999999999998</v>
      </c>
      <c r="L119" s="9">
        <v>19.989999999999998</v>
      </c>
      <c r="M119" s="4" t="s">
        <v>1265</v>
      </c>
      <c r="N119" s="4" t="s">
        <v>2501</v>
      </c>
      <c r="O119" s="4" t="s">
        <v>2629</v>
      </c>
      <c r="P119" s="4" t="s">
        <v>2602</v>
      </c>
      <c r="Q119" s="4" t="s">
        <v>2528</v>
      </c>
      <c r="R119" s="4"/>
      <c r="S119" s="4"/>
      <c r="T119" s="4" t="str">
        <f>HYPERLINK("http://slimages.macys.com/is/image/MCY/19944190 ")</f>
        <v xml:space="preserve">http://slimages.macys.com/is/image/MCY/19944190 </v>
      </c>
    </row>
    <row r="120" spans="1:20" ht="15" customHeight="1" x14ac:dyDescent="0.25">
      <c r="A120" s="4" t="s">
        <v>2489</v>
      </c>
      <c r="B120" s="2" t="s">
        <v>2487</v>
      </c>
      <c r="C120" s="2" t="s">
        <v>2488</v>
      </c>
      <c r="D120" s="5" t="s">
        <v>2490</v>
      </c>
      <c r="E120" s="4" t="s">
        <v>2491</v>
      </c>
      <c r="F120" s="6">
        <v>14236763</v>
      </c>
      <c r="G120" s="3">
        <v>14236763</v>
      </c>
      <c r="H120" s="7">
        <v>194135706132</v>
      </c>
      <c r="I120" s="8" t="s">
        <v>844</v>
      </c>
      <c r="J120" s="4">
        <v>1</v>
      </c>
      <c r="K120" s="9">
        <v>17.32</v>
      </c>
      <c r="L120" s="9">
        <v>17.32</v>
      </c>
      <c r="M120" s="4" t="s">
        <v>3400</v>
      </c>
      <c r="N120" s="4"/>
      <c r="O120" s="4" t="s">
        <v>2587</v>
      </c>
      <c r="P120" s="4" t="s">
        <v>2657</v>
      </c>
      <c r="Q120" s="4" t="s">
        <v>2658</v>
      </c>
      <c r="R120" s="4"/>
      <c r="S120" s="4"/>
      <c r="T120" s="4" t="str">
        <f>HYPERLINK("http://slimages.macys.com/is/image/MCY/20193725 ")</f>
        <v xml:space="preserve">http://slimages.macys.com/is/image/MCY/20193725 </v>
      </c>
    </row>
    <row r="121" spans="1:20" ht="15" customHeight="1" x14ac:dyDescent="0.25">
      <c r="A121" s="4" t="s">
        <v>2489</v>
      </c>
      <c r="B121" s="2" t="s">
        <v>2487</v>
      </c>
      <c r="C121" s="2" t="s">
        <v>2488</v>
      </c>
      <c r="D121" s="5" t="s">
        <v>2490</v>
      </c>
      <c r="E121" s="4" t="s">
        <v>2491</v>
      </c>
      <c r="F121" s="6">
        <v>14236763</v>
      </c>
      <c r="G121" s="3">
        <v>14236763</v>
      </c>
      <c r="H121" s="7">
        <v>733003643874</v>
      </c>
      <c r="I121" s="8" t="s">
        <v>1968</v>
      </c>
      <c r="J121" s="4">
        <v>1</v>
      </c>
      <c r="K121" s="9">
        <v>15.99</v>
      </c>
      <c r="L121" s="9">
        <v>15.99</v>
      </c>
      <c r="M121" s="4" t="s">
        <v>2971</v>
      </c>
      <c r="N121" s="4" t="s">
        <v>2567</v>
      </c>
      <c r="O121" s="4" t="s">
        <v>2650</v>
      </c>
      <c r="P121" s="4" t="s">
        <v>2515</v>
      </c>
      <c r="Q121" s="4" t="s">
        <v>2972</v>
      </c>
      <c r="R121" s="4"/>
      <c r="S121" s="4"/>
      <c r="T121" s="4" t="str">
        <f>HYPERLINK("http://slimages.macys.com/is/image/MCY/20008082 ")</f>
        <v xml:space="preserve">http://slimages.macys.com/is/image/MCY/20008082 </v>
      </c>
    </row>
    <row r="122" spans="1:20" ht="15" customHeight="1" x14ac:dyDescent="0.25">
      <c r="A122" s="4" t="s">
        <v>2489</v>
      </c>
      <c r="B122" s="2" t="s">
        <v>2487</v>
      </c>
      <c r="C122" s="2" t="s">
        <v>2488</v>
      </c>
      <c r="D122" s="5" t="s">
        <v>2490</v>
      </c>
      <c r="E122" s="4" t="s">
        <v>2491</v>
      </c>
      <c r="F122" s="6">
        <v>14236763</v>
      </c>
      <c r="G122" s="3">
        <v>14236763</v>
      </c>
      <c r="H122" s="7">
        <v>733004729461</v>
      </c>
      <c r="I122" s="8" t="s">
        <v>845</v>
      </c>
      <c r="J122" s="4">
        <v>1</v>
      </c>
      <c r="K122" s="9">
        <v>11.99</v>
      </c>
      <c r="L122" s="9">
        <v>11.99</v>
      </c>
      <c r="M122" s="4" t="s">
        <v>3092</v>
      </c>
      <c r="N122" s="4" t="s">
        <v>2501</v>
      </c>
      <c r="O122" s="4" t="s">
        <v>2498</v>
      </c>
      <c r="P122" s="4" t="s">
        <v>2520</v>
      </c>
      <c r="Q122" s="4" t="s">
        <v>2521</v>
      </c>
      <c r="R122" s="4"/>
      <c r="S122" s="4"/>
      <c r="T122" s="4" t="str">
        <f>HYPERLINK("http://slimages.macys.com/is/image/MCY/1067460 ")</f>
        <v xml:space="preserve">http://slimages.macys.com/is/image/MCY/1067460 </v>
      </c>
    </row>
    <row r="123" spans="1:20" ht="15" customHeight="1" x14ac:dyDescent="0.25">
      <c r="A123" s="4" t="s">
        <v>2489</v>
      </c>
      <c r="B123" s="2" t="s">
        <v>2487</v>
      </c>
      <c r="C123" s="2" t="s">
        <v>2488</v>
      </c>
      <c r="D123" s="5" t="s">
        <v>2490</v>
      </c>
      <c r="E123" s="4" t="s">
        <v>2491</v>
      </c>
      <c r="F123" s="6">
        <v>14236763</v>
      </c>
      <c r="G123" s="3">
        <v>14236763</v>
      </c>
      <c r="H123" s="7">
        <v>733004919961</v>
      </c>
      <c r="I123" s="8" t="s">
        <v>3379</v>
      </c>
      <c r="J123" s="4">
        <v>1</v>
      </c>
      <c r="K123" s="9">
        <v>7.99</v>
      </c>
      <c r="L123" s="9">
        <v>7.99</v>
      </c>
      <c r="M123" s="4" t="s">
        <v>846</v>
      </c>
      <c r="N123" s="4" t="s">
        <v>2501</v>
      </c>
      <c r="O123" s="4" t="s">
        <v>2650</v>
      </c>
      <c r="P123" s="4" t="s">
        <v>2503</v>
      </c>
      <c r="Q123" s="4" t="s">
        <v>2504</v>
      </c>
      <c r="R123" s="4"/>
      <c r="S123" s="4"/>
      <c r="T123" s="4" t="str">
        <f>HYPERLINK("http://slimages.macys.com/is/image/MCY/19977461 ")</f>
        <v xml:space="preserve">http://slimages.macys.com/is/image/MCY/19977461 </v>
      </c>
    </row>
    <row r="124" spans="1:20" ht="15" customHeight="1" x14ac:dyDescent="0.25">
      <c r="A124" s="4" t="s">
        <v>2489</v>
      </c>
      <c r="B124" s="2" t="s">
        <v>2487</v>
      </c>
      <c r="C124" s="2" t="s">
        <v>2488</v>
      </c>
      <c r="D124" s="5" t="s">
        <v>2490</v>
      </c>
      <c r="E124" s="4" t="s">
        <v>2491</v>
      </c>
      <c r="F124" s="6">
        <v>14236763</v>
      </c>
      <c r="G124" s="3">
        <v>14236763</v>
      </c>
      <c r="H124" s="7">
        <v>633731599552</v>
      </c>
      <c r="I124" s="8" t="s">
        <v>1817</v>
      </c>
      <c r="J124" s="4">
        <v>2</v>
      </c>
      <c r="K124" s="9">
        <v>26.99</v>
      </c>
      <c r="L124" s="9">
        <v>53.98</v>
      </c>
      <c r="M124" s="4" t="s">
        <v>1818</v>
      </c>
      <c r="N124" s="4" t="s">
        <v>2535</v>
      </c>
      <c r="O124" s="4" t="s">
        <v>2961</v>
      </c>
      <c r="P124" s="4" t="s">
        <v>2740</v>
      </c>
      <c r="Q124" s="4" t="s">
        <v>2733</v>
      </c>
      <c r="R124" s="4" t="s">
        <v>2552</v>
      </c>
      <c r="S124" s="4" t="s">
        <v>2624</v>
      </c>
      <c r="T124" s="4" t="str">
        <f>HYPERLINK("http://slimages.macys.com/is/image/MCY/15507551 ")</f>
        <v xml:space="preserve">http://slimages.macys.com/is/image/MCY/15507551 </v>
      </c>
    </row>
    <row r="125" spans="1:20" ht="15" customHeight="1" x14ac:dyDescent="0.25">
      <c r="A125" s="4" t="s">
        <v>2489</v>
      </c>
      <c r="B125" s="2" t="s">
        <v>2487</v>
      </c>
      <c r="C125" s="2" t="s">
        <v>2488</v>
      </c>
      <c r="D125" s="5" t="s">
        <v>2490</v>
      </c>
      <c r="E125" s="4" t="s">
        <v>2491</v>
      </c>
      <c r="F125" s="6">
        <v>14236763</v>
      </c>
      <c r="G125" s="3">
        <v>14236763</v>
      </c>
      <c r="H125" s="7">
        <v>733004748592</v>
      </c>
      <c r="I125" s="8" t="s">
        <v>2417</v>
      </c>
      <c r="J125" s="4">
        <v>3</v>
      </c>
      <c r="K125" s="9">
        <v>7.99</v>
      </c>
      <c r="L125" s="9">
        <v>23.97</v>
      </c>
      <c r="M125" s="4" t="s">
        <v>3352</v>
      </c>
      <c r="N125" s="4" t="s">
        <v>2505</v>
      </c>
      <c r="O125" s="4" t="s">
        <v>2628</v>
      </c>
      <c r="P125" s="4" t="s">
        <v>2503</v>
      </c>
      <c r="Q125" s="4" t="s">
        <v>2504</v>
      </c>
      <c r="R125" s="4"/>
      <c r="S125" s="4"/>
      <c r="T125" s="4" t="str">
        <f>HYPERLINK("http://slimages.macys.com/is/image/MCY/19977855 ")</f>
        <v xml:space="preserve">http://slimages.macys.com/is/image/MCY/19977855 </v>
      </c>
    </row>
    <row r="126" spans="1:20" ht="15" customHeight="1" x14ac:dyDescent="0.25">
      <c r="A126" s="4" t="s">
        <v>2489</v>
      </c>
      <c r="B126" s="2" t="s">
        <v>2487</v>
      </c>
      <c r="C126" s="2" t="s">
        <v>2488</v>
      </c>
      <c r="D126" s="5" t="s">
        <v>2490</v>
      </c>
      <c r="E126" s="4" t="s">
        <v>2491</v>
      </c>
      <c r="F126" s="6">
        <v>14236763</v>
      </c>
      <c r="G126" s="3">
        <v>14236763</v>
      </c>
      <c r="H126" s="7">
        <v>195883922713</v>
      </c>
      <c r="I126" s="8" t="s">
        <v>847</v>
      </c>
      <c r="J126" s="4">
        <v>1</v>
      </c>
      <c r="K126" s="9">
        <v>8.31</v>
      </c>
      <c r="L126" s="9">
        <v>8.31</v>
      </c>
      <c r="M126" s="4" t="s">
        <v>3409</v>
      </c>
      <c r="N126" s="4" t="s">
        <v>2567</v>
      </c>
      <c r="O126" s="4">
        <v>6</v>
      </c>
      <c r="P126" s="4" t="s">
        <v>2506</v>
      </c>
      <c r="Q126" s="4" t="s">
        <v>2527</v>
      </c>
      <c r="R126" s="4"/>
      <c r="S126" s="4"/>
      <c r="T126" s="4" t="str">
        <f>HYPERLINK("http://slimages.macys.com/is/image/MCY/20905075 ")</f>
        <v xml:space="preserve">http://slimages.macys.com/is/image/MCY/20905075 </v>
      </c>
    </row>
    <row r="127" spans="1:20" ht="15" customHeight="1" x14ac:dyDescent="0.25">
      <c r="A127" s="4" t="s">
        <v>2489</v>
      </c>
      <c r="B127" s="2" t="s">
        <v>2487</v>
      </c>
      <c r="C127" s="2" t="s">
        <v>2488</v>
      </c>
      <c r="D127" s="5" t="s">
        <v>2490</v>
      </c>
      <c r="E127" s="4" t="s">
        <v>2491</v>
      </c>
      <c r="F127" s="6">
        <v>14236763</v>
      </c>
      <c r="G127" s="3">
        <v>14236763</v>
      </c>
      <c r="H127" s="7">
        <v>762120113069</v>
      </c>
      <c r="I127" s="8" t="s">
        <v>3269</v>
      </c>
      <c r="J127" s="4">
        <v>1</v>
      </c>
      <c r="K127" s="9">
        <v>6.99</v>
      </c>
      <c r="L127" s="9">
        <v>6.99</v>
      </c>
      <c r="M127" s="4" t="s">
        <v>3270</v>
      </c>
      <c r="N127" s="4" t="s">
        <v>2518</v>
      </c>
      <c r="O127" s="4" t="s">
        <v>2502</v>
      </c>
      <c r="P127" s="4" t="s">
        <v>2503</v>
      </c>
      <c r="Q127" s="4" t="s">
        <v>2504</v>
      </c>
      <c r="R127" s="4"/>
      <c r="S127" s="4"/>
      <c r="T127" s="4" t="str">
        <f>HYPERLINK("http://slimages.macys.com/is/image/MCY/19977414 ")</f>
        <v xml:space="preserve">http://slimages.macys.com/is/image/MCY/19977414 </v>
      </c>
    </row>
    <row r="128" spans="1:20" ht="15" customHeight="1" x14ac:dyDescent="0.25">
      <c r="A128" s="4" t="s">
        <v>2489</v>
      </c>
      <c r="B128" s="2" t="s">
        <v>2487</v>
      </c>
      <c r="C128" s="2" t="s">
        <v>2488</v>
      </c>
      <c r="D128" s="5" t="s">
        <v>2490</v>
      </c>
      <c r="E128" s="4" t="s">
        <v>2491</v>
      </c>
      <c r="F128" s="6">
        <v>14236763</v>
      </c>
      <c r="G128" s="3">
        <v>14236763</v>
      </c>
      <c r="H128" s="7">
        <v>733003144388</v>
      </c>
      <c r="I128" s="8" t="s">
        <v>3095</v>
      </c>
      <c r="J128" s="4">
        <v>1</v>
      </c>
      <c r="K128" s="9">
        <v>12.99</v>
      </c>
      <c r="L128" s="9">
        <v>12.99</v>
      </c>
      <c r="M128" s="4" t="s">
        <v>3096</v>
      </c>
      <c r="N128" s="4" t="s">
        <v>2665</v>
      </c>
      <c r="O128" s="4" t="s">
        <v>2502</v>
      </c>
      <c r="P128" s="4" t="s">
        <v>2503</v>
      </c>
      <c r="Q128" s="4" t="s">
        <v>2504</v>
      </c>
      <c r="R128" s="4"/>
      <c r="S128" s="4"/>
      <c r="T128" s="4" t="str">
        <f>HYPERLINK("http://slimages.macys.com/is/image/MCY/19218033 ")</f>
        <v xml:space="preserve">http://slimages.macys.com/is/image/MCY/19218033 </v>
      </c>
    </row>
    <row r="129" spans="1:20" ht="15" customHeight="1" x14ac:dyDescent="0.25">
      <c r="A129" s="4" t="s">
        <v>2489</v>
      </c>
      <c r="B129" s="2" t="s">
        <v>2487</v>
      </c>
      <c r="C129" s="2" t="s">
        <v>2488</v>
      </c>
      <c r="D129" s="5" t="s">
        <v>2490</v>
      </c>
      <c r="E129" s="4" t="s">
        <v>2491</v>
      </c>
      <c r="F129" s="6">
        <v>14236763</v>
      </c>
      <c r="G129" s="3">
        <v>14236763</v>
      </c>
      <c r="H129" s="7">
        <v>696114425947</v>
      </c>
      <c r="I129" s="8" t="s">
        <v>848</v>
      </c>
      <c r="J129" s="4">
        <v>1</v>
      </c>
      <c r="K129" s="9">
        <v>14.99</v>
      </c>
      <c r="L129" s="9">
        <v>14.99</v>
      </c>
      <c r="M129" s="4" t="s">
        <v>849</v>
      </c>
      <c r="N129" s="4" t="s">
        <v>2731</v>
      </c>
      <c r="O129" s="4"/>
      <c r="P129" s="4" t="s">
        <v>2569</v>
      </c>
      <c r="Q129" s="4" t="s">
        <v>2679</v>
      </c>
      <c r="R129" s="4"/>
      <c r="S129" s="4"/>
      <c r="T129" s="4" t="str">
        <f>HYPERLINK("http://slimages.macys.com/is/image/MCY/20291062 ")</f>
        <v xml:space="preserve">http://slimages.macys.com/is/image/MCY/20291062 </v>
      </c>
    </row>
    <row r="130" spans="1:20" ht="15" customHeight="1" x14ac:dyDescent="0.25">
      <c r="A130" s="4" t="s">
        <v>2489</v>
      </c>
      <c r="B130" s="2" t="s">
        <v>2487</v>
      </c>
      <c r="C130" s="2" t="s">
        <v>2488</v>
      </c>
      <c r="D130" s="5" t="s">
        <v>2490</v>
      </c>
      <c r="E130" s="4" t="s">
        <v>2491</v>
      </c>
      <c r="F130" s="6">
        <v>14236763</v>
      </c>
      <c r="G130" s="3">
        <v>14236763</v>
      </c>
      <c r="H130" s="7">
        <v>733004040337</v>
      </c>
      <c r="I130" s="8" t="s">
        <v>1264</v>
      </c>
      <c r="J130" s="4">
        <v>1</v>
      </c>
      <c r="K130" s="9">
        <v>19.989999999999998</v>
      </c>
      <c r="L130" s="9">
        <v>19.989999999999998</v>
      </c>
      <c r="M130" s="4" t="s">
        <v>1265</v>
      </c>
      <c r="N130" s="4" t="s">
        <v>2501</v>
      </c>
      <c r="O130" s="4" t="s">
        <v>2628</v>
      </c>
      <c r="P130" s="4" t="s">
        <v>2602</v>
      </c>
      <c r="Q130" s="4" t="s">
        <v>2528</v>
      </c>
      <c r="R130" s="4"/>
      <c r="S130" s="4"/>
      <c r="T130" s="4" t="str">
        <f>HYPERLINK("http://slimages.macys.com/is/image/MCY/19944190 ")</f>
        <v xml:space="preserve">http://slimages.macys.com/is/image/MCY/19944190 </v>
      </c>
    </row>
    <row r="131" spans="1:20" ht="15" customHeight="1" x14ac:dyDescent="0.25">
      <c r="A131" s="4" t="s">
        <v>2489</v>
      </c>
      <c r="B131" s="2" t="s">
        <v>2487</v>
      </c>
      <c r="C131" s="2" t="s">
        <v>2488</v>
      </c>
      <c r="D131" s="5" t="s">
        <v>2490</v>
      </c>
      <c r="E131" s="4" t="s">
        <v>2491</v>
      </c>
      <c r="F131" s="6">
        <v>14236763</v>
      </c>
      <c r="G131" s="3">
        <v>14236763</v>
      </c>
      <c r="H131" s="7">
        <v>733004883491</v>
      </c>
      <c r="I131" s="8" t="s">
        <v>850</v>
      </c>
      <c r="J131" s="4">
        <v>1</v>
      </c>
      <c r="K131" s="9">
        <v>6.99</v>
      </c>
      <c r="L131" s="9">
        <v>6.99</v>
      </c>
      <c r="M131" s="4" t="s">
        <v>1971</v>
      </c>
      <c r="N131" s="4" t="s">
        <v>2501</v>
      </c>
      <c r="O131" s="4" t="s">
        <v>2566</v>
      </c>
      <c r="P131" s="4" t="s">
        <v>2503</v>
      </c>
      <c r="Q131" s="4" t="s">
        <v>2504</v>
      </c>
      <c r="R131" s="4"/>
      <c r="S131" s="4"/>
      <c r="T131" s="4" t="str">
        <f>HYPERLINK("http://slimages.macys.com/is/image/MCY/1062099 ")</f>
        <v xml:space="preserve">http://slimages.macys.com/is/image/MCY/1062099 </v>
      </c>
    </row>
    <row r="132" spans="1:20" ht="15" customHeight="1" x14ac:dyDescent="0.25">
      <c r="A132" s="4" t="s">
        <v>2489</v>
      </c>
      <c r="B132" s="2" t="s">
        <v>2487</v>
      </c>
      <c r="C132" s="2" t="s">
        <v>2488</v>
      </c>
      <c r="D132" s="5" t="s">
        <v>2490</v>
      </c>
      <c r="E132" s="4" t="s">
        <v>2491</v>
      </c>
      <c r="F132" s="6">
        <v>14236763</v>
      </c>
      <c r="G132" s="3">
        <v>14236763</v>
      </c>
      <c r="H132" s="7">
        <v>733003930714</v>
      </c>
      <c r="I132" s="8" t="s">
        <v>851</v>
      </c>
      <c r="J132" s="4">
        <v>2</v>
      </c>
      <c r="K132" s="9">
        <v>12.99</v>
      </c>
      <c r="L132" s="9">
        <v>25.98</v>
      </c>
      <c r="M132" s="4" t="s">
        <v>852</v>
      </c>
      <c r="N132" s="4" t="s">
        <v>2665</v>
      </c>
      <c r="O132" s="4" t="s">
        <v>2502</v>
      </c>
      <c r="P132" s="4" t="s">
        <v>2503</v>
      </c>
      <c r="Q132" s="4" t="s">
        <v>2504</v>
      </c>
      <c r="R132" s="4"/>
      <c r="S132" s="4"/>
      <c r="T132" s="4" t="str">
        <f>HYPERLINK("http://slimages.macys.com/is/image/MCY/19511224 ")</f>
        <v xml:space="preserve">http://slimages.macys.com/is/image/MCY/19511224 </v>
      </c>
    </row>
    <row r="133" spans="1:20" ht="15" customHeight="1" x14ac:dyDescent="0.25">
      <c r="A133" s="4" t="s">
        <v>2489</v>
      </c>
      <c r="B133" s="2" t="s">
        <v>2487</v>
      </c>
      <c r="C133" s="2" t="s">
        <v>2488</v>
      </c>
      <c r="D133" s="5" t="s">
        <v>2490</v>
      </c>
      <c r="E133" s="4" t="s">
        <v>2491</v>
      </c>
      <c r="F133" s="6">
        <v>14236763</v>
      </c>
      <c r="G133" s="3">
        <v>14236763</v>
      </c>
      <c r="H133" s="7">
        <v>733004295294</v>
      </c>
      <c r="I133" s="8" t="s">
        <v>853</v>
      </c>
      <c r="J133" s="4">
        <v>1</v>
      </c>
      <c r="K133" s="9">
        <v>12.99</v>
      </c>
      <c r="L133" s="9">
        <v>12.99</v>
      </c>
      <c r="M133" s="4" t="s">
        <v>3435</v>
      </c>
      <c r="N133" s="4" t="s">
        <v>2600</v>
      </c>
      <c r="O133" s="4" t="s">
        <v>2502</v>
      </c>
      <c r="P133" s="4" t="s">
        <v>2503</v>
      </c>
      <c r="Q133" s="4" t="s">
        <v>2504</v>
      </c>
      <c r="R133" s="4"/>
      <c r="S133" s="4"/>
      <c r="T133" s="4" t="str">
        <f>HYPERLINK("http://slimages.macys.com/is/image/MCY/19217922 ")</f>
        <v xml:space="preserve">http://slimages.macys.com/is/image/MCY/19217922 </v>
      </c>
    </row>
    <row r="134" spans="1:20" ht="15" customHeight="1" x14ac:dyDescent="0.25">
      <c r="A134" s="4" t="s">
        <v>2489</v>
      </c>
      <c r="B134" s="2" t="s">
        <v>2487</v>
      </c>
      <c r="C134" s="2" t="s">
        <v>2488</v>
      </c>
      <c r="D134" s="5" t="s">
        <v>2490</v>
      </c>
      <c r="E134" s="4" t="s">
        <v>2491</v>
      </c>
      <c r="F134" s="6">
        <v>14236763</v>
      </c>
      <c r="G134" s="3">
        <v>14236763</v>
      </c>
      <c r="H134" s="7">
        <v>733004743696</v>
      </c>
      <c r="I134" s="8" t="s">
        <v>854</v>
      </c>
      <c r="J134" s="4">
        <v>1</v>
      </c>
      <c r="K134" s="9">
        <v>7.99</v>
      </c>
      <c r="L134" s="9">
        <v>7.99</v>
      </c>
      <c r="M134" s="4" t="s">
        <v>855</v>
      </c>
      <c r="N134" s="4" t="s">
        <v>2638</v>
      </c>
      <c r="O134" s="4" t="s">
        <v>2629</v>
      </c>
      <c r="P134" s="4" t="s">
        <v>2503</v>
      </c>
      <c r="Q134" s="4" t="s">
        <v>2504</v>
      </c>
      <c r="R134" s="4"/>
      <c r="S134" s="4"/>
      <c r="T134" s="4" t="str">
        <f>HYPERLINK("http://slimages.macys.com/is/image/MCY/19977742 ")</f>
        <v xml:space="preserve">http://slimages.macys.com/is/image/MCY/19977742 </v>
      </c>
    </row>
    <row r="135" spans="1:20" ht="15" customHeight="1" x14ac:dyDescent="0.25">
      <c r="A135" s="4" t="s">
        <v>2489</v>
      </c>
      <c r="B135" s="2" t="s">
        <v>2487</v>
      </c>
      <c r="C135" s="2" t="s">
        <v>2488</v>
      </c>
      <c r="D135" s="5" t="s">
        <v>2490</v>
      </c>
      <c r="E135" s="4" t="s">
        <v>2491</v>
      </c>
      <c r="F135" s="6">
        <v>14236763</v>
      </c>
      <c r="G135" s="3">
        <v>14236763</v>
      </c>
      <c r="H135" s="7">
        <v>733003144371</v>
      </c>
      <c r="I135" s="8" t="s">
        <v>2308</v>
      </c>
      <c r="J135" s="4">
        <v>1</v>
      </c>
      <c r="K135" s="9">
        <v>12.99</v>
      </c>
      <c r="L135" s="9">
        <v>12.99</v>
      </c>
      <c r="M135" s="4" t="s">
        <v>3096</v>
      </c>
      <c r="N135" s="4" t="s">
        <v>2665</v>
      </c>
      <c r="O135" s="4" t="s">
        <v>2493</v>
      </c>
      <c r="P135" s="4" t="s">
        <v>2503</v>
      </c>
      <c r="Q135" s="4" t="s">
        <v>2504</v>
      </c>
      <c r="R135" s="4"/>
      <c r="S135" s="4"/>
      <c r="T135" s="4" t="str">
        <f>HYPERLINK("http://slimages.macys.com/is/image/MCY/19218033 ")</f>
        <v xml:space="preserve">http://slimages.macys.com/is/image/MCY/19218033 </v>
      </c>
    </row>
    <row r="136" spans="1:20" ht="15" customHeight="1" x14ac:dyDescent="0.25">
      <c r="A136" s="4" t="s">
        <v>2489</v>
      </c>
      <c r="B136" s="2" t="s">
        <v>2487</v>
      </c>
      <c r="C136" s="2" t="s">
        <v>2488</v>
      </c>
      <c r="D136" s="5" t="s">
        <v>2490</v>
      </c>
      <c r="E136" s="4" t="s">
        <v>2491</v>
      </c>
      <c r="F136" s="6">
        <v>14236763</v>
      </c>
      <c r="G136" s="3">
        <v>14236763</v>
      </c>
      <c r="H136" s="7">
        <v>762120020268</v>
      </c>
      <c r="I136" s="8" t="s">
        <v>2186</v>
      </c>
      <c r="J136" s="4">
        <v>1</v>
      </c>
      <c r="K136" s="9">
        <v>6.99</v>
      </c>
      <c r="L136" s="9">
        <v>6.99</v>
      </c>
      <c r="M136" s="4" t="s">
        <v>3235</v>
      </c>
      <c r="N136" s="4" t="s">
        <v>2565</v>
      </c>
      <c r="O136" s="4" t="s">
        <v>2566</v>
      </c>
      <c r="P136" s="4" t="s">
        <v>2503</v>
      </c>
      <c r="Q136" s="4" t="s">
        <v>2504</v>
      </c>
      <c r="R136" s="4"/>
      <c r="S136" s="4"/>
      <c r="T136" s="4" t="str">
        <f>HYPERLINK("http://slimages.macys.com/is/image/MCY/20436495 ")</f>
        <v xml:space="preserve">http://slimages.macys.com/is/image/MCY/20436495 </v>
      </c>
    </row>
    <row r="137" spans="1:20" ht="15" customHeight="1" x14ac:dyDescent="0.25">
      <c r="A137" s="4" t="s">
        <v>2489</v>
      </c>
      <c r="B137" s="2" t="s">
        <v>2487</v>
      </c>
      <c r="C137" s="2" t="s">
        <v>2488</v>
      </c>
      <c r="D137" s="5" t="s">
        <v>2490</v>
      </c>
      <c r="E137" s="4" t="s">
        <v>2491</v>
      </c>
      <c r="F137" s="6">
        <v>14236763</v>
      </c>
      <c r="G137" s="3">
        <v>14236763</v>
      </c>
      <c r="H137" s="7">
        <v>762120020183</v>
      </c>
      <c r="I137" s="8" t="s">
        <v>3346</v>
      </c>
      <c r="J137" s="4">
        <v>4</v>
      </c>
      <c r="K137" s="9">
        <v>6.99</v>
      </c>
      <c r="L137" s="9">
        <v>27.96</v>
      </c>
      <c r="M137" s="4" t="s">
        <v>3235</v>
      </c>
      <c r="N137" s="4" t="s">
        <v>2638</v>
      </c>
      <c r="O137" s="4" t="s">
        <v>2502</v>
      </c>
      <c r="P137" s="4" t="s">
        <v>2503</v>
      </c>
      <c r="Q137" s="4" t="s">
        <v>2504</v>
      </c>
      <c r="R137" s="4"/>
      <c r="S137" s="4"/>
      <c r="T137" s="4" t="str">
        <f>HYPERLINK("http://slimages.macys.com/is/image/MCY/20436495 ")</f>
        <v xml:space="preserve">http://slimages.macys.com/is/image/MCY/20436495 </v>
      </c>
    </row>
    <row r="138" spans="1:20" ht="15" customHeight="1" x14ac:dyDescent="0.25">
      <c r="A138" s="4" t="s">
        <v>2489</v>
      </c>
      <c r="B138" s="2" t="s">
        <v>2487</v>
      </c>
      <c r="C138" s="2" t="s">
        <v>2488</v>
      </c>
      <c r="D138" s="5" t="s">
        <v>2490</v>
      </c>
      <c r="E138" s="4" t="s">
        <v>2491</v>
      </c>
      <c r="F138" s="6">
        <v>14236763</v>
      </c>
      <c r="G138" s="3">
        <v>14236763</v>
      </c>
      <c r="H138" s="7">
        <v>762120020282</v>
      </c>
      <c r="I138" s="8" t="s">
        <v>1194</v>
      </c>
      <c r="J138" s="4">
        <v>1</v>
      </c>
      <c r="K138" s="9">
        <v>6.99</v>
      </c>
      <c r="L138" s="9">
        <v>6.99</v>
      </c>
      <c r="M138" s="4" t="s">
        <v>3235</v>
      </c>
      <c r="N138" s="4" t="s">
        <v>2565</v>
      </c>
      <c r="O138" s="4" t="s">
        <v>2502</v>
      </c>
      <c r="P138" s="4" t="s">
        <v>2503</v>
      </c>
      <c r="Q138" s="4" t="s">
        <v>2504</v>
      </c>
      <c r="R138" s="4"/>
      <c r="S138" s="4"/>
      <c r="T138" s="4" t="str">
        <f>HYPERLINK("http://slimages.macys.com/is/image/MCY/20436495 ")</f>
        <v xml:space="preserve">http://slimages.macys.com/is/image/MCY/20436495 </v>
      </c>
    </row>
    <row r="139" spans="1:20" ht="15" customHeight="1" x14ac:dyDescent="0.25">
      <c r="A139" s="4" t="s">
        <v>2489</v>
      </c>
      <c r="B139" s="2" t="s">
        <v>2487</v>
      </c>
      <c r="C139" s="2" t="s">
        <v>2488</v>
      </c>
      <c r="D139" s="5" t="s">
        <v>2490</v>
      </c>
      <c r="E139" s="4" t="s">
        <v>2491</v>
      </c>
      <c r="F139" s="6">
        <v>14236763</v>
      </c>
      <c r="G139" s="3">
        <v>14236763</v>
      </c>
      <c r="H139" s="7">
        <v>733004738401</v>
      </c>
      <c r="I139" s="8" t="s">
        <v>1978</v>
      </c>
      <c r="J139" s="4">
        <v>1</v>
      </c>
      <c r="K139" s="9">
        <v>6.99</v>
      </c>
      <c r="L139" s="9">
        <v>6.99</v>
      </c>
      <c r="M139" s="4" t="s">
        <v>1979</v>
      </c>
      <c r="N139" s="4" t="s">
        <v>2501</v>
      </c>
      <c r="O139" s="4" t="s">
        <v>2559</v>
      </c>
      <c r="P139" s="4" t="s">
        <v>2503</v>
      </c>
      <c r="Q139" s="4" t="s">
        <v>2504</v>
      </c>
      <c r="R139" s="4"/>
      <c r="S139" s="4"/>
      <c r="T139" s="4" t="str">
        <f>HYPERLINK("http://slimages.macys.com/is/image/MCY/19977830 ")</f>
        <v xml:space="preserve">http://slimages.macys.com/is/image/MCY/19977830 </v>
      </c>
    </row>
    <row r="140" spans="1:20" ht="15" customHeight="1" x14ac:dyDescent="0.25">
      <c r="A140" s="4" t="s">
        <v>2489</v>
      </c>
      <c r="B140" s="2" t="s">
        <v>2487</v>
      </c>
      <c r="C140" s="2" t="s">
        <v>2488</v>
      </c>
      <c r="D140" s="5" t="s">
        <v>2490</v>
      </c>
      <c r="E140" s="4" t="s">
        <v>2491</v>
      </c>
      <c r="F140" s="6">
        <v>14236763</v>
      </c>
      <c r="G140" s="3">
        <v>14236763</v>
      </c>
      <c r="H140" s="7">
        <v>887685992208</v>
      </c>
      <c r="I140" s="8" t="s">
        <v>856</v>
      </c>
      <c r="J140" s="4">
        <v>1</v>
      </c>
      <c r="K140" s="9">
        <v>55</v>
      </c>
      <c r="L140" s="9">
        <v>55</v>
      </c>
      <c r="M140" s="4">
        <v>311853365001</v>
      </c>
      <c r="N140" s="4" t="s">
        <v>2497</v>
      </c>
      <c r="O140" s="4" t="s">
        <v>2587</v>
      </c>
      <c r="P140" s="4" t="s">
        <v>2982</v>
      </c>
      <c r="Q140" s="4" t="s">
        <v>2616</v>
      </c>
      <c r="R140" s="4"/>
      <c r="S140" s="4"/>
      <c r="T140" s="4" t="str">
        <f>HYPERLINK("http://slimages.macys.com/is/image/MCY/20443492 ")</f>
        <v xml:space="preserve">http://slimages.macys.com/is/image/MCY/20443492 </v>
      </c>
    </row>
    <row r="141" spans="1:20" ht="15" customHeight="1" x14ac:dyDescent="0.25">
      <c r="A141" s="4" t="s">
        <v>2489</v>
      </c>
      <c r="B141" s="2" t="s">
        <v>2487</v>
      </c>
      <c r="C141" s="2" t="s">
        <v>2488</v>
      </c>
      <c r="D141" s="5" t="s">
        <v>2490</v>
      </c>
      <c r="E141" s="4" t="s">
        <v>2491</v>
      </c>
      <c r="F141" s="6">
        <v>14236763</v>
      </c>
      <c r="G141" s="3">
        <v>14236763</v>
      </c>
      <c r="H141" s="7">
        <v>733004952890</v>
      </c>
      <c r="I141" s="8" t="s">
        <v>3111</v>
      </c>
      <c r="J141" s="4">
        <v>1</v>
      </c>
      <c r="K141" s="9">
        <v>13.99</v>
      </c>
      <c r="L141" s="9">
        <v>13.99</v>
      </c>
      <c r="M141" s="4" t="s">
        <v>2698</v>
      </c>
      <c r="N141" s="4" t="s">
        <v>2501</v>
      </c>
      <c r="O141" s="4" t="s">
        <v>2566</v>
      </c>
      <c r="P141" s="4" t="s">
        <v>2503</v>
      </c>
      <c r="Q141" s="4" t="s">
        <v>2504</v>
      </c>
      <c r="R141" s="4"/>
      <c r="S141" s="4"/>
      <c r="T141" s="4" t="str">
        <f>HYPERLINK("http://slimages.macys.com/is/image/MCY/20142527 ")</f>
        <v xml:space="preserve">http://slimages.macys.com/is/image/MCY/20142527 </v>
      </c>
    </row>
    <row r="142" spans="1:20" ht="15" customHeight="1" x14ac:dyDescent="0.25">
      <c r="A142" s="4" t="s">
        <v>2489</v>
      </c>
      <c r="B142" s="2" t="s">
        <v>2487</v>
      </c>
      <c r="C142" s="2" t="s">
        <v>2488</v>
      </c>
      <c r="D142" s="5" t="s">
        <v>2490</v>
      </c>
      <c r="E142" s="4" t="s">
        <v>2491</v>
      </c>
      <c r="F142" s="6">
        <v>14236763</v>
      </c>
      <c r="G142" s="3">
        <v>14236763</v>
      </c>
      <c r="H142" s="7">
        <v>194135463202</v>
      </c>
      <c r="I142" s="8" t="s">
        <v>857</v>
      </c>
      <c r="J142" s="4">
        <v>1</v>
      </c>
      <c r="K142" s="9">
        <v>14.45</v>
      </c>
      <c r="L142" s="9">
        <v>14.45</v>
      </c>
      <c r="M142" s="4" t="s">
        <v>2057</v>
      </c>
      <c r="N142" s="4" t="s">
        <v>2567</v>
      </c>
      <c r="O142" s="4" t="s">
        <v>2597</v>
      </c>
      <c r="P142" s="4" t="s">
        <v>2494</v>
      </c>
      <c r="Q142" s="4" t="s">
        <v>2495</v>
      </c>
      <c r="R142" s="4"/>
      <c r="S142" s="4"/>
      <c r="T142" s="4" t="str">
        <f>HYPERLINK("http://slimages.macys.com/is/image/MCY/19836737 ")</f>
        <v xml:space="preserve">http://slimages.macys.com/is/image/MCY/19836737 </v>
      </c>
    </row>
    <row r="143" spans="1:20" ht="15" customHeight="1" x14ac:dyDescent="0.25">
      <c r="A143" s="4" t="s">
        <v>2489</v>
      </c>
      <c r="B143" s="2" t="s">
        <v>2487</v>
      </c>
      <c r="C143" s="2" t="s">
        <v>2488</v>
      </c>
      <c r="D143" s="5" t="s">
        <v>2490</v>
      </c>
      <c r="E143" s="4" t="s">
        <v>2491</v>
      </c>
      <c r="F143" s="6">
        <v>14236763</v>
      </c>
      <c r="G143" s="3">
        <v>14236763</v>
      </c>
      <c r="H143" s="7">
        <v>733003581121</v>
      </c>
      <c r="I143" s="8" t="s">
        <v>3189</v>
      </c>
      <c r="J143" s="4">
        <v>1</v>
      </c>
      <c r="K143" s="9">
        <v>21.99</v>
      </c>
      <c r="L143" s="9">
        <v>21.99</v>
      </c>
      <c r="M143" s="4" t="s">
        <v>3190</v>
      </c>
      <c r="N143" s="4" t="s">
        <v>2642</v>
      </c>
      <c r="O143" s="4"/>
      <c r="P143" s="4" t="s">
        <v>2503</v>
      </c>
      <c r="Q143" s="4" t="s">
        <v>2504</v>
      </c>
      <c r="R143" s="4"/>
      <c r="S143" s="4"/>
      <c r="T143" s="4" t="str">
        <f>HYPERLINK("http://slimages.macys.com/is/image/MCY/19588814 ")</f>
        <v xml:space="preserve">http://slimages.macys.com/is/image/MCY/19588814 </v>
      </c>
    </row>
    <row r="144" spans="1:20" ht="15" customHeight="1" x14ac:dyDescent="0.25">
      <c r="A144" s="4" t="s">
        <v>2489</v>
      </c>
      <c r="B144" s="2" t="s">
        <v>2487</v>
      </c>
      <c r="C144" s="2" t="s">
        <v>2488</v>
      </c>
      <c r="D144" s="5" t="s">
        <v>2490</v>
      </c>
      <c r="E144" s="4" t="s">
        <v>2491</v>
      </c>
      <c r="F144" s="6">
        <v>14236763</v>
      </c>
      <c r="G144" s="3">
        <v>14236763</v>
      </c>
      <c r="H144" s="7">
        <v>762120023641</v>
      </c>
      <c r="I144" s="8" t="s">
        <v>3023</v>
      </c>
      <c r="J144" s="4">
        <v>1</v>
      </c>
      <c r="K144" s="9">
        <v>7.99</v>
      </c>
      <c r="L144" s="9">
        <v>7.99</v>
      </c>
      <c r="M144" s="4" t="s">
        <v>3024</v>
      </c>
      <c r="N144" s="4" t="s">
        <v>2565</v>
      </c>
      <c r="O144" s="4" t="s">
        <v>2629</v>
      </c>
      <c r="P144" s="4" t="s">
        <v>2503</v>
      </c>
      <c r="Q144" s="4" t="s">
        <v>2504</v>
      </c>
      <c r="R144" s="4"/>
      <c r="S144" s="4"/>
      <c r="T144" s="4" t="str">
        <f>HYPERLINK("http://slimages.macys.com/is/image/MCY/19977451 ")</f>
        <v xml:space="preserve">http://slimages.macys.com/is/image/MCY/19977451 </v>
      </c>
    </row>
    <row r="145" spans="1:20" ht="15" customHeight="1" x14ac:dyDescent="0.25">
      <c r="A145" s="4" t="s">
        <v>2489</v>
      </c>
      <c r="B145" s="2" t="s">
        <v>2487</v>
      </c>
      <c r="C145" s="2" t="s">
        <v>2488</v>
      </c>
      <c r="D145" s="5" t="s">
        <v>2490</v>
      </c>
      <c r="E145" s="4" t="s">
        <v>2491</v>
      </c>
      <c r="F145" s="6">
        <v>14236763</v>
      </c>
      <c r="G145" s="3">
        <v>14236763</v>
      </c>
      <c r="H145" s="7">
        <v>677838961058</v>
      </c>
      <c r="I145" s="8" t="s">
        <v>2090</v>
      </c>
      <c r="J145" s="4">
        <v>4</v>
      </c>
      <c r="K145" s="9">
        <v>34.99</v>
      </c>
      <c r="L145" s="9">
        <v>139.96</v>
      </c>
      <c r="M145" s="4" t="s">
        <v>2091</v>
      </c>
      <c r="N145" s="4" t="s">
        <v>2535</v>
      </c>
      <c r="O145" s="4" t="s">
        <v>2555</v>
      </c>
      <c r="P145" s="4" t="s">
        <v>2499</v>
      </c>
      <c r="Q145" s="4" t="s">
        <v>2752</v>
      </c>
      <c r="R145" s="4" t="s">
        <v>2741</v>
      </c>
      <c r="S145" s="4" t="s">
        <v>2872</v>
      </c>
      <c r="T145" s="4" t="str">
        <f>HYPERLINK("http://images.bloomingdales.com/is/image/BLM/11266390 ")</f>
        <v xml:space="preserve">http://images.bloomingdales.com/is/image/BLM/11266390 </v>
      </c>
    </row>
    <row r="146" spans="1:20" ht="15" customHeight="1" x14ac:dyDescent="0.25">
      <c r="A146" s="4" t="s">
        <v>2489</v>
      </c>
      <c r="B146" s="2" t="s">
        <v>2487</v>
      </c>
      <c r="C146" s="2" t="s">
        <v>2488</v>
      </c>
      <c r="D146" s="5" t="s">
        <v>2490</v>
      </c>
      <c r="E146" s="4" t="s">
        <v>2491</v>
      </c>
      <c r="F146" s="6">
        <v>14236763</v>
      </c>
      <c r="G146" s="3">
        <v>14236763</v>
      </c>
      <c r="H146" s="7">
        <v>733002942435</v>
      </c>
      <c r="I146" s="8" t="s">
        <v>3188</v>
      </c>
      <c r="J146" s="4">
        <v>1</v>
      </c>
      <c r="K146" s="9">
        <v>6.99</v>
      </c>
      <c r="L146" s="9">
        <v>6.99</v>
      </c>
      <c r="M146" s="4" t="s">
        <v>2976</v>
      </c>
      <c r="N146" s="4" t="s">
        <v>2497</v>
      </c>
      <c r="O146" s="4" t="s">
        <v>2519</v>
      </c>
      <c r="P146" s="4" t="s">
        <v>2520</v>
      </c>
      <c r="Q146" s="4" t="s">
        <v>2521</v>
      </c>
      <c r="R146" s="4"/>
      <c r="S146" s="4"/>
      <c r="T146" s="4" t="str">
        <f>HYPERLINK("http://slimages.macys.com/is/image/MCY/19254522 ")</f>
        <v xml:space="preserve">http://slimages.macys.com/is/image/MCY/19254522 </v>
      </c>
    </row>
    <row r="147" spans="1:20" ht="15" customHeight="1" x14ac:dyDescent="0.25">
      <c r="A147" s="4" t="s">
        <v>2489</v>
      </c>
      <c r="B147" s="2" t="s">
        <v>2487</v>
      </c>
      <c r="C147" s="2" t="s">
        <v>2488</v>
      </c>
      <c r="D147" s="5" t="s">
        <v>2490</v>
      </c>
      <c r="E147" s="4" t="s">
        <v>2491</v>
      </c>
      <c r="F147" s="6">
        <v>14236763</v>
      </c>
      <c r="G147" s="3">
        <v>14236763</v>
      </c>
      <c r="H147" s="7">
        <v>733004297717</v>
      </c>
      <c r="I147" s="8" t="s">
        <v>2948</v>
      </c>
      <c r="J147" s="4">
        <v>1</v>
      </c>
      <c r="K147" s="9">
        <v>27.99</v>
      </c>
      <c r="L147" s="9">
        <v>27.99</v>
      </c>
      <c r="M147" s="4" t="s">
        <v>2949</v>
      </c>
      <c r="N147" s="4" t="s">
        <v>2758</v>
      </c>
      <c r="O147" s="4" t="s">
        <v>2555</v>
      </c>
      <c r="P147" s="4" t="s">
        <v>2515</v>
      </c>
      <c r="Q147" s="4" t="s">
        <v>2672</v>
      </c>
      <c r="R147" s="4"/>
      <c r="S147" s="4"/>
      <c r="T147" s="4" t="str">
        <f>HYPERLINK("http://slimages.macys.com/is/image/MCY/20143278 ")</f>
        <v xml:space="preserve">http://slimages.macys.com/is/image/MCY/20143278 </v>
      </c>
    </row>
    <row r="148" spans="1:20" ht="15" customHeight="1" x14ac:dyDescent="0.25">
      <c r="A148" s="4" t="s">
        <v>2489</v>
      </c>
      <c r="B148" s="2" t="s">
        <v>2487</v>
      </c>
      <c r="C148" s="2" t="s">
        <v>2488</v>
      </c>
      <c r="D148" s="5" t="s">
        <v>2490</v>
      </c>
      <c r="E148" s="4" t="s">
        <v>2491</v>
      </c>
      <c r="F148" s="6">
        <v>14236763</v>
      </c>
      <c r="G148" s="3">
        <v>14236763</v>
      </c>
      <c r="H148" s="7">
        <v>807421176716</v>
      </c>
      <c r="I148" s="8" t="s">
        <v>858</v>
      </c>
      <c r="J148" s="4">
        <v>1</v>
      </c>
      <c r="K148" s="9">
        <v>22.99</v>
      </c>
      <c r="L148" s="9">
        <v>22.99</v>
      </c>
      <c r="M148" s="4" t="s">
        <v>859</v>
      </c>
      <c r="N148" s="4" t="s">
        <v>2501</v>
      </c>
      <c r="O148" s="4" t="s">
        <v>2498</v>
      </c>
      <c r="P148" s="4" t="s">
        <v>2499</v>
      </c>
      <c r="Q148" s="4" t="s">
        <v>2752</v>
      </c>
      <c r="R148" s="4"/>
      <c r="S148" s="4"/>
      <c r="T148" s="4" t="str">
        <f>HYPERLINK("http://slimages.macys.com/is/image/MCY/20347649 ")</f>
        <v xml:space="preserve">http://slimages.macys.com/is/image/MCY/20347649 </v>
      </c>
    </row>
    <row r="149" spans="1:20" ht="15" customHeight="1" x14ac:dyDescent="0.25">
      <c r="A149" s="4" t="s">
        <v>2489</v>
      </c>
      <c r="B149" s="2" t="s">
        <v>2487</v>
      </c>
      <c r="C149" s="2" t="s">
        <v>2488</v>
      </c>
      <c r="D149" s="5" t="s">
        <v>2490</v>
      </c>
      <c r="E149" s="4" t="s">
        <v>2491</v>
      </c>
      <c r="F149" s="6">
        <v>14236763</v>
      </c>
      <c r="G149" s="3">
        <v>14236763</v>
      </c>
      <c r="H149" s="7">
        <v>733004297762</v>
      </c>
      <c r="I149" s="8" t="s">
        <v>860</v>
      </c>
      <c r="J149" s="4">
        <v>1</v>
      </c>
      <c r="K149" s="9">
        <v>27.99</v>
      </c>
      <c r="L149" s="9">
        <v>27.99</v>
      </c>
      <c r="M149" s="4" t="s">
        <v>2949</v>
      </c>
      <c r="N149" s="4" t="s">
        <v>2600</v>
      </c>
      <c r="O149" s="4" t="s">
        <v>2498</v>
      </c>
      <c r="P149" s="4" t="s">
        <v>2515</v>
      </c>
      <c r="Q149" s="4" t="s">
        <v>2672</v>
      </c>
      <c r="R149" s="4"/>
      <c r="S149" s="4"/>
      <c r="T149" s="4" t="str">
        <f>HYPERLINK("http://slimages.macys.com/is/image/MCY/20143278 ")</f>
        <v xml:space="preserve">http://slimages.macys.com/is/image/MCY/20143278 </v>
      </c>
    </row>
    <row r="150" spans="1:20" ht="15" customHeight="1" x14ac:dyDescent="0.25">
      <c r="A150" s="4" t="s">
        <v>2489</v>
      </c>
      <c r="B150" s="2" t="s">
        <v>2487</v>
      </c>
      <c r="C150" s="2" t="s">
        <v>2488</v>
      </c>
      <c r="D150" s="5" t="s">
        <v>2490</v>
      </c>
      <c r="E150" s="4" t="s">
        <v>2491</v>
      </c>
      <c r="F150" s="6">
        <v>14236763</v>
      </c>
      <c r="G150" s="3">
        <v>14236763</v>
      </c>
      <c r="H150" s="7">
        <v>762120023542</v>
      </c>
      <c r="I150" s="8" t="s">
        <v>2648</v>
      </c>
      <c r="J150" s="4">
        <v>1</v>
      </c>
      <c r="K150" s="9">
        <v>7.99</v>
      </c>
      <c r="L150" s="9">
        <v>7.99</v>
      </c>
      <c r="M150" s="4" t="s">
        <v>2649</v>
      </c>
      <c r="N150" s="4" t="s">
        <v>2571</v>
      </c>
      <c r="O150" s="4" t="s">
        <v>2650</v>
      </c>
      <c r="P150" s="4" t="s">
        <v>2503</v>
      </c>
      <c r="Q150" s="4" t="s">
        <v>2504</v>
      </c>
      <c r="R150" s="4"/>
      <c r="S150" s="4"/>
      <c r="T150" s="4" t="str">
        <f>HYPERLINK("http://slimages.macys.com/is/image/MCY/19976982 ")</f>
        <v xml:space="preserve">http://slimages.macys.com/is/image/MCY/19976982 </v>
      </c>
    </row>
    <row r="151" spans="1:20" ht="15" customHeight="1" x14ac:dyDescent="0.25">
      <c r="A151" s="4" t="s">
        <v>2489</v>
      </c>
      <c r="B151" s="2" t="s">
        <v>2487</v>
      </c>
      <c r="C151" s="2" t="s">
        <v>2488</v>
      </c>
      <c r="D151" s="5" t="s">
        <v>2490</v>
      </c>
      <c r="E151" s="4" t="s">
        <v>2491</v>
      </c>
      <c r="F151" s="6">
        <v>14236763</v>
      </c>
      <c r="G151" s="3">
        <v>14236763</v>
      </c>
      <c r="H151" s="7">
        <v>733004591822</v>
      </c>
      <c r="I151" s="8" t="s">
        <v>2843</v>
      </c>
      <c r="J151" s="4">
        <v>1</v>
      </c>
      <c r="K151" s="9">
        <v>17.989999999999998</v>
      </c>
      <c r="L151" s="9">
        <v>17.989999999999998</v>
      </c>
      <c r="M151" s="4">
        <v>10013097300</v>
      </c>
      <c r="N151" s="4" t="s">
        <v>2600</v>
      </c>
      <c r="O151" s="4" t="s">
        <v>2831</v>
      </c>
      <c r="P151" s="4" t="s">
        <v>2503</v>
      </c>
      <c r="Q151" s="4" t="s">
        <v>2504</v>
      </c>
      <c r="R151" s="4"/>
      <c r="S151" s="4"/>
      <c r="T151" s="4" t="str">
        <f>HYPERLINK("http://slimages.macys.com/is/image/MCY/19755903 ")</f>
        <v xml:space="preserve">http://slimages.macys.com/is/image/MCY/19755903 </v>
      </c>
    </row>
    <row r="152" spans="1:20" ht="15" customHeight="1" x14ac:dyDescent="0.25">
      <c r="A152" s="4" t="s">
        <v>2489</v>
      </c>
      <c r="B152" s="2" t="s">
        <v>2487</v>
      </c>
      <c r="C152" s="2" t="s">
        <v>2488</v>
      </c>
      <c r="D152" s="5" t="s">
        <v>2490</v>
      </c>
      <c r="E152" s="4" t="s">
        <v>2491</v>
      </c>
      <c r="F152" s="6">
        <v>14236763</v>
      </c>
      <c r="G152" s="3">
        <v>14236763</v>
      </c>
      <c r="H152" s="7">
        <v>762120085472</v>
      </c>
      <c r="I152" s="8" t="s">
        <v>1398</v>
      </c>
      <c r="J152" s="4">
        <v>1</v>
      </c>
      <c r="K152" s="9">
        <v>7.99</v>
      </c>
      <c r="L152" s="9">
        <v>7.99</v>
      </c>
      <c r="M152" s="4" t="s">
        <v>2929</v>
      </c>
      <c r="N152" s="4"/>
      <c r="O152" s="4" t="s">
        <v>2628</v>
      </c>
      <c r="P152" s="4" t="s">
        <v>2602</v>
      </c>
      <c r="Q152" s="4" t="s">
        <v>2528</v>
      </c>
      <c r="R152" s="4"/>
      <c r="S152" s="4"/>
      <c r="T152" s="4" t="str">
        <f>HYPERLINK("http://slimages.macys.com/is/image/MCY/20691813 ")</f>
        <v xml:space="preserve">http://slimages.macys.com/is/image/MCY/20691813 </v>
      </c>
    </row>
    <row r="153" spans="1:20" ht="15" customHeight="1" x14ac:dyDescent="0.25">
      <c r="A153" s="4" t="s">
        <v>2489</v>
      </c>
      <c r="B153" s="2" t="s">
        <v>2487</v>
      </c>
      <c r="C153" s="2" t="s">
        <v>2488</v>
      </c>
      <c r="D153" s="5" t="s">
        <v>2490</v>
      </c>
      <c r="E153" s="4" t="s">
        <v>2491</v>
      </c>
      <c r="F153" s="6">
        <v>14236763</v>
      </c>
      <c r="G153" s="3">
        <v>14236763</v>
      </c>
      <c r="H153" s="7">
        <v>194135501508</v>
      </c>
      <c r="I153" s="8" t="s">
        <v>1532</v>
      </c>
      <c r="J153" s="4">
        <v>1</v>
      </c>
      <c r="K153" s="9">
        <v>10.34</v>
      </c>
      <c r="L153" s="9">
        <v>10.34</v>
      </c>
      <c r="M153" s="4" t="s">
        <v>1533</v>
      </c>
      <c r="N153" s="4" t="s">
        <v>2501</v>
      </c>
      <c r="O153" s="4" t="s">
        <v>2705</v>
      </c>
      <c r="P153" s="4" t="s">
        <v>2657</v>
      </c>
      <c r="Q153" s="4" t="s">
        <v>2658</v>
      </c>
      <c r="R153" s="4"/>
      <c r="S153" s="4"/>
      <c r="T153" s="4" t="str">
        <f>HYPERLINK("http://slimages.macys.com/is/image/MCY/19944618 ")</f>
        <v xml:space="preserve">http://slimages.macys.com/is/image/MCY/19944618 </v>
      </c>
    </row>
    <row r="154" spans="1:20" ht="15" customHeight="1" x14ac:dyDescent="0.25">
      <c r="A154" s="4" t="s">
        <v>2489</v>
      </c>
      <c r="B154" s="2" t="s">
        <v>2487</v>
      </c>
      <c r="C154" s="2" t="s">
        <v>2488</v>
      </c>
      <c r="D154" s="5" t="s">
        <v>2490</v>
      </c>
      <c r="E154" s="4" t="s">
        <v>2491</v>
      </c>
      <c r="F154" s="6">
        <v>14236763</v>
      </c>
      <c r="G154" s="3">
        <v>14236763</v>
      </c>
      <c r="H154" s="7">
        <v>733004089060</v>
      </c>
      <c r="I154" s="8" t="s">
        <v>861</v>
      </c>
      <c r="J154" s="4">
        <v>1</v>
      </c>
      <c r="K154" s="9">
        <v>7.99</v>
      </c>
      <c r="L154" s="9">
        <v>7.99</v>
      </c>
      <c r="M154" s="4" t="s">
        <v>2925</v>
      </c>
      <c r="N154" s="4" t="s">
        <v>2501</v>
      </c>
      <c r="O154" s="4">
        <v>5</v>
      </c>
      <c r="P154" s="4" t="s">
        <v>2602</v>
      </c>
      <c r="Q154" s="4" t="s">
        <v>2528</v>
      </c>
      <c r="R154" s="4"/>
      <c r="S154" s="4"/>
      <c r="T154" s="4" t="str">
        <f>HYPERLINK("http://slimages.macys.com/is/image/MCY/19988256 ")</f>
        <v xml:space="preserve">http://slimages.macys.com/is/image/MCY/19988256 </v>
      </c>
    </row>
    <row r="155" spans="1:20" ht="15" customHeight="1" x14ac:dyDescent="0.25">
      <c r="A155" s="4" t="s">
        <v>2489</v>
      </c>
      <c r="B155" s="2" t="s">
        <v>2487</v>
      </c>
      <c r="C155" s="2" t="s">
        <v>2488</v>
      </c>
      <c r="D155" s="5" t="s">
        <v>2490</v>
      </c>
      <c r="E155" s="4" t="s">
        <v>2491</v>
      </c>
      <c r="F155" s="6">
        <v>14236763</v>
      </c>
      <c r="G155" s="3">
        <v>14236763</v>
      </c>
      <c r="H155" s="7">
        <v>733004884191</v>
      </c>
      <c r="I155" s="8" t="s">
        <v>862</v>
      </c>
      <c r="J155" s="4">
        <v>1</v>
      </c>
      <c r="K155" s="9">
        <v>6.99</v>
      </c>
      <c r="L155" s="9">
        <v>6.99</v>
      </c>
      <c r="M155" s="4" t="s">
        <v>2234</v>
      </c>
      <c r="N155" s="4" t="s">
        <v>3049</v>
      </c>
      <c r="O155" s="4"/>
      <c r="P155" s="4" t="s">
        <v>2503</v>
      </c>
      <c r="Q155" s="4" t="s">
        <v>2504</v>
      </c>
      <c r="R155" s="4"/>
      <c r="S155" s="4"/>
      <c r="T155" s="4" t="str">
        <f>HYPERLINK("http://slimages.macys.com/is/image/MCY/1062102 ")</f>
        <v xml:space="preserve">http://slimages.macys.com/is/image/MCY/1062102 </v>
      </c>
    </row>
    <row r="156" spans="1:20" ht="15" customHeight="1" x14ac:dyDescent="0.25">
      <c r="A156" s="4" t="s">
        <v>2489</v>
      </c>
      <c r="B156" s="2" t="s">
        <v>2487</v>
      </c>
      <c r="C156" s="2" t="s">
        <v>2488</v>
      </c>
      <c r="D156" s="5" t="s">
        <v>2490</v>
      </c>
      <c r="E156" s="4" t="s">
        <v>2491</v>
      </c>
      <c r="F156" s="6">
        <v>14236763</v>
      </c>
      <c r="G156" s="3">
        <v>14236763</v>
      </c>
      <c r="H156" s="7">
        <v>762120162463</v>
      </c>
      <c r="I156" s="8" t="s">
        <v>863</v>
      </c>
      <c r="J156" s="4">
        <v>1</v>
      </c>
      <c r="K156" s="9">
        <v>7.99</v>
      </c>
      <c r="L156" s="9">
        <v>7.99</v>
      </c>
      <c r="M156" s="4" t="s">
        <v>3141</v>
      </c>
      <c r="N156" s="4" t="s">
        <v>2632</v>
      </c>
      <c r="O156" s="4">
        <v>6</v>
      </c>
      <c r="P156" s="4" t="s">
        <v>2602</v>
      </c>
      <c r="Q156" s="4" t="s">
        <v>2528</v>
      </c>
      <c r="R156" s="4"/>
      <c r="S156" s="4"/>
      <c r="T156" s="4" t="str">
        <f>HYPERLINK("http://slimages.macys.com/is/image/MCY/20819689 ")</f>
        <v xml:space="preserve">http://slimages.macys.com/is/image/MCY/20819689 </v>
      </c>
    </row>
    <row r="157" spans="1:20" ht="15" customHeight="1" x14ac:dyDescent="0.25">
      <c r="A157" s="4" t="s">
        <v>2489</v>
      </c>
      <c r="B157" s="2" t="s">
        <v>2487</v>
      </c>
      <c r="C157" s="2" t="s">
        <v>2488</v>
      </c>
      <c r="D157" s="5" t="s">
        <v>2490</v>
      </c>
      <c r="E157" s="4" t="s">
        <v>2491</v>
      </c>
      <c r="F157" s="6">
        <v>14236763</v>
      </c>
      <c r="G157" s="3">
        <v>14236763</v>
      </c>
      <c r="H157" s="7">
        <v>733004779039</v>
      </c>
      <c r="I157" s="8" t="s">
        <v>864</v>
      </c>
      <c r="J157" s="4">
        <v>1</v>
      </c>
      <c r="K157" s="9">
        <v>7.99</v>
      </c>
      <c r="L157" s="9">
        <v>7.99</v>
      </c>
      <c r="M157" s="4" t="s">
        <v>1180</v>
      </c>
      <c r="N157" s="4" t="s">
        <v>2632</v>
      </c>
      <c r="O157" s="4" t="s">
        <v>2650</v>
      </c>
      <c r="P157" s="4" t="s">
        <v>2602</v>
      </c>
      <c r="Q157" s="4" t="s">
        <v>2528</v>
      </c>
      <c r="R157" s="4"/>
      <c r="S157" s="4"/>
      <c r="T157" s="4" t="str">
        <f>HYPERLINK("http://slimages.macys.com/is/image/MCY/20450147 ")</f>
        <v xml:space="preserve">http://slimages.macys.com/is/image/MCY/20450147 </v>
      </c>
    </row>
    <row r="158" spans="1:20" ht="15" customHeight="1" x14ac:dyDescent="0.25">
      <c r="A158" s="4" t="s">
        <v>2489</v>
      </c>
      <c r="B158" s="2" t="s">
        <v>2487</v>
      </c>
      <c r="C158" s="2" t="s">
        <v>2488</v>
      </c>
      <c r="D158" s="5" t="s">
        <v>2490</v>
      </c>
      <c r="E158" s="4" t="s">
        <v>2491</v>
      </c>
      <c r="F158" s="6">
        <v>14236763</v>
      </c>
      <c r="G158" s="3">
        <v>14236763</v>
      </c>
      <c r="H158" s="7">
        <v>733004085932</v>
      </c>
      <c r="I158" s="8" t="s">
        <v>1572</v>
      </c>
      <c r="J158" s="4">
        <v>1</v>
      </c>
      <c r="K158" s="9">
        <v>21.99</v>
      </c>
      <c r="L158" s="9">
        <v>21.99</v>
      </c>
      <c r="M158" s="4" t="s">
        <v>1573</v>
      </c>
      <c r="N158" s="4" t="s">
        <v>2567</v>
      </c>
      <c r="O158" s="4" t="s">
        <v>2498</v>
      </c>
      <c r="P158" s="4" t="s">
        <v>2543</v>
      </c>
      <c r="Q158" s="4" t="s">
        <v>2528</v>
      </c>
      <c r="R158" s="4"/>
      <c r="S158" s="4"/>
      <c r="T158" s="4" t="str">
        <f>HYPERLINK("http://slimages.macys.com/is/image/MCY/19988444 ")</f>
        <v xml:space="preserve">http://slimages.macys.com/is/image/MCY/19988444 </v>
      </c>
    </row>
    <row r="159" spans="1:20" ht="15" customHeight="1" x14ac:dyDescent="0.25">
      <c r="A159" s="4" t="s">
        <v>2489</v>
      </c>
      <c r="B159" s="2" t="s">
        <v>2487</v>
      </c>
      <c r="C159" s="2" t="s">
        <v>2488</v>
      </c>
      <c r="D159" s="5" t="s">
        <v>2490</v>
      </c>
      <c r="E159" s="4" t="s">
        <v>2491</v>
      </c>
      <c r="F159" s="6">
        <v>14236763</v>
      </c>
      <c r="G159" s="3">
        <v>14236763</v>
      </c>
      <c r="H159" s="7">
        <v>733004920035</v>
      </c>
      <c r="I159" s="8" t="s">
        <v>865</v>
      </c>
      <c r="J159" s="4">
        <v>1</v>
      </c>
      <c r="K159" s="9">
        <v>7.99</v>
      </c>
      <c r="L159" s="9">
        <v>7.99</v>
      </c>
      <c r="M159" s="4" t="s">
        <v>3353</v>
      </c>
      <c r="N159" s="4" t="s">
        <v>2501</v>
      </c>
      <c r="O159" s="4" t="s">
        <v>2629</v>
      </c>
      <c r="P159" s="4" t="s">
        <v>2503</v>
      </c>
      <c r="Q159" s="4" t="s">
        <v>2504</v>
      </c>
      <c r="R159" s="4"/>
      <c r="S159" s="4"/>
      <c r="T159" s="4" t="str">
        <f>HYPERLINK("http://slimages.macys.com/is/image/MCY/19977826 ")</f>
        <v xml:space="preserve">http://slimages.macys.com/is/image/MCY/19977826 </v>
      </c>
    </row>
    <row r="160" spans="1:20" ht="15" customHeight="1" x14ac:dyDescent="0.25">
      <c r="A160" s="4" t="s">
        <v>2489</v>
      </c>
      <c r="B160" s="2" t="s">
        <v>2487</v>
      </c>
      <c r="C160" s="2" t="s">
        <v>2488</v>
      </c>
      <c r="D160" s="5" t="s">
        <v>2490</v>
      </c>
      <c r="E160" s="4" t="s">
        <v>2491</v>
      </c>
      <c r="F160" s="6">
        <v>14236763</v>
      </c>
      <c r="G160" s="3">
        <v>14236763</v>
      </c>
      <c r="H160" s="7">
        <v>733004763199</v>
      </c>
      <c r="I160" s="8" t="s">
        <v>866</v>
      </c>
      <c r="J160" s="4">
        <v>1</v>
      </c>
      <c r="K160" s="9">
        <v>19.989999999999998</v>
      </c>
      <c r="L160" s="9">
        <v>19.989999999999998</v>
      </c>
      <c r="M160" s="4" t="s">
        <v>1983</v>
      </c>
      <c r="N160" s="4" t="s">
        <v>2561</v>
      </c>
      <c r="O160" s="4">
        <v>5</v>
      </c>
      <c r="P160" s="4" t="s">
        <v>2515</v>
      </c>
      <c r="Q160" s="4" t="s">
        <v>2672</v>
      </c>
      <c r="R160" s="4"/>
      <c r="S160" s="4"/>
      <c r="T160" s="4" t="str">
        <f>HYPERLINK("http://slimages.macys.com/is/image/MCY/20530633 ")</f>
        <v xml:space="preserve">http://slimages.macys.com/is/image/MCY/20530633 </v>
      </c>
    </row>
    <row r="161" spans="1:20" ht="15" customHeight="1" x14ac:dyDescent="0.25">
      <c r="A161" s="4" t="s">
        <v>2489</v>
      </c>
      <c r="B161" s="2" t="s">
        <v>2487</v>
      </c>
      <c r="C161" s="2" t="s">
        <v>2488</v>
      </c>
      <c r="D161" s="5" t="s">
        <v>2490</v>
      </c>
      <c r="E161" s="4" t="s">
        <v>2491</v>
      </c>
      <c r="F161" s="6">
        <v>14236763</v>
      </c>
      <c r="G161" s="3">
        <v>14236763</v>
      </c>
      <c r="H161" s="7">
        <v>46094700440</v>
      </c>
      <c r="I161" s="8" t="s">
        <v>867</v>
      </c>
      <c r="J161" s="4">
        <v>1</v>
      </c>
      <c r="K161" s="9">
        <v>4.99</v>
      </c>
      <c r="L161" s="9">
        <v>4.99</v>
      </c>
      <c r="M161" s="4" t="s">
        <v>3329</v>
      </c>
      <c r="N161" s="4" t="s">
        <v>2514</v>
      </c>
      <c r="O161" s="4" t="s">
        <v>2555</v>
      </c>
      <c r="P161" s="4" t="s">
        <v>2666</v>
      </c>
      <c r="Q161" s="4" t="s">
        <v>2667</v>
      </c>
      <c r="R161" s="4" t="s">
        <v>2552</v>
      </c>
      <c r="S161" s="4" t="s">
        <v>3157</v>
      </c>
      <c r="T161" s="4" t="str">
        <f>HYPERLINK("http://slimages.macys.com/is/image/MCY/9378229 ")</f>
        <v xml:space="preserve">http://slimages.macys.com/is/image/MCY/9378229 </v>
      </c>
    </row>
    <row r="162" spans="1:20" ht="15" customHeight="1" x14ac:dyDescent="0.25">
      <c r="A162" s="4" t="s">
        <v>2489</v>
      </c>
      <c r="B162" s="2" t="s">
        <v>2487</v>
      </c>
      <c r="C162" s="2" t="s">
        <v>2488</v>
      </c>
      <c r="D162" s="5" t="s">
        <v>2490</v>
      </c>
      <c r="E162" s="4" t="s">
        <v>2491</v>
      </c>
      <c r="F162" s="6">
        <v>14236763</v>
      </c>
      <c r="G162" s="3">
        <v>14236763</v>
      </c>
      <c r="H162" s="7">
        <v>194870569115</v>
      </c>
      <c r="I162" s="8" t="s">
        <v>868</v>
      </c>
      <c r="J162" s="4">
        <v>1</v>
      </c>
      <c r="K162" s="9">
        <v>20.99</v>
      </c>
      <c r="L162" s="9">
        <v>20.99</v>
      </c>
      <c r="M162" s="4" t="s">
        <v>1608</v>
      </c>
      <c r="N162" s="4" t="s">
        <v>2497</v>
      </c>
      <c r="O162" s="4">
        <v>5</v>
      </c>
      <c r="P162" s="4" t="s">
        <v>2499</v>
      </c>
      <c r="Q162" s="4" t="s">
        <v>2663</v>
      </c>
      <c r="R162" s="4"/>
      <c r="S162" s="4"/>
      <c r="T162" s="4" t="str">
        <f>HYPERLINK("http://slimages.macys.com/is/image/MCY/21477635 ")</f>
        <v xml:space="preserve">http://slimages.macys.com/is/image/MCY/21477635 </v>
      </c>
    </row>
    <row r="163" spans="1:20" ht="15" customHeight="1" x14ac:dyDescent="0.25">
      <c r="A163" s="4" t="s">
        <v>2489</v>
      </c>
      <c r="B163" s="2" t="s">
        <v>2487</v>
      </c>
      <c r="C163" s="2" t="s">
        <v>2488</v>
      </c>
      <c r="D163" s="5" t="s">
        <v>2490</v>
      </c>
      <c r="E163" s="4" t="s">
        <v>2491</v>
      </c>
      <c r="F163" s="6">
        <v>14236763</v>
      </c>
      <c r="G163" s="3">
        <v>14236763</v>
      </c>
      <c r="H163" s="7">
        <v>733003644079</v>
      </c>
      <c r="I163" s="8" t="s">
        <v>1939</v>
      </c>
      <c r="J163" s="4">
        <v>1</v>
      </c>
      <c r="K163" s="9">
        <v>15.99</v>
      </c>
      <c r="L163" s="9">
        <v>15.99</v>
      </c>
      <c r="M163" s="4" t="s">
        <v>2971</v>
      </c>
      <c r="N163" s="4" t="s">
        <v>2561</v>
      </c>
      <c r="O163" s="4" t="s">
        <v>2628</v>
      </c>
      <c r="P163" s="4" t="s">
        <v>2515</v>
      </c>
      <c r="Q163" s="4" t="s">
        <v>2972</v>
      </c>
      <c r="R163" s="4"/>
      <c r="S163" s="4"/>
      <c r="T163" s="4" t="str">
        <f>HYPERLINK("http://slimages.macys.com/is/image/MCY/20008082 ")</f>
        <v xml:space="preserve">http://slimages.macys.com/is/image/MCY/20008082 </v>
      </c>
    </row>
    <row r="164" spans="1:20" ht="15" customHeight="1" x14ac:dyDescent="0.25">
      <c r="A164" s="4" t="s">
        <v>2489</v>
      </c>
      <c r="B164" s="2" t="s">
        <v>2487</v>
      </c>
      <c r="C164" s="2" t="s">
        <v>2488</v>
      </c>
      <c r="D164" s="5" t="s">
        <v>2490</v>
      </c>
      <c r="E164" s="4" t="s">
        <v>2491</v>
      </c>
      <c r="F164" s="6">
        <v>14236763</v>
      </c>
      <c r="G164" s="3">
        <v>14236763</v>
      </c>
      <c r="H164" s="7">
        <v>195958125308</v>
      </c>
      <c r="I164" s="8" t="s">
        <v>1520</v>
      </c>
      <c r="J164" s="4">
        <v>1</v>
      </c>
      <c r="K164" s="9">
        <v>21.99</v>
      </c>
      <c r="L164" s="9">
        <v>21.99</v>
      </c>
      <c r="M164" s="4" t="s">
        <v>1521</v>
      </c>
      <c r="N164" s="4" t="s">
        <v>2544</v>
      </c>
      <c r="O164" s="4" t="s">
        <v>2587</v>
      </c>
      <c r="P164" s="4" t="s">
        <v>2536</v>
      </c>
      <c r="Q164" s="4" t="s">
        <v>2844</v>
      </c>
      <c r="R164" s="4"/>
      <c r="S164" s="4"/>
      <c r="T164" s="4" t="str">
        <f>HYPERLINK("http://slimages.macys.com/is/image/MCY/20544696 ")</f>
        <v xml:space="preserve">http://slimages.macys.com/is/image/MCY/20544696 </v>
      </c>
    </row>
    <row r="165" spans="1:20" ht="15" customHeight="1" x14ac:dyDescent="0.25">
      <c r="A165" s="4" t="s">
        <v>2489</v>
      </c>
      <c r="B165" s="2" t="s">
        <v>2487</v>
      </c>
      <c r="C165" s="2" t="s">
        <v>2488</v>
      </c>
      <c r="D165" s="5" t="s">
        <v>2490</v>
      </c>
      <c r="E165" s="4" t="s">
        <v>2491</v>
      </c>
      <c r="F165" s="6">
        <v>14236763</v>
      </c>
      <c r="G165" s="3">
        <v>14236763</v>
      </c>
      <c r="H165" s="7">
        <v>733003643607</v>
      </c>
      <c r="I165" s="8" t="s">
        <v>3251</v>
      </c>
      <c r="J165" s="4">
        <v>3</v>
      </c>
      <c r="K165" s="9">
        <v>18.989999999999998</v>
      </c>
      <c r="L165" s="9">
        <v>56.97</v>
      </c>
      <c r="M165" s="4" t="s">
        <v>2984</v>
      </c>
      <c r="N165" s="4" t="s">
        <v>2567</v>
      </c>
      <c r="O165" s="4" t="s">
        <v>2650</v>
      </c>
      <c r="P165" s="4" t="s">
        <v>2515</v>
      </c>
      <c r="Q165" s="4" t="s">
        <v>2972</v>
      </c>
      <c r="R165" s="4"/>
      <c r="S165" s="4"/>
      <c r="T165" s="4" t="str">
        <f>HYPERLINK("http://slimages.macys.com/is/image/MCY/20008203 ")</f>
        <v xml:space="preserve">http://slimages.macys.com/is/image/MCY/20008203 </v>
      </c>
    </row>
    <row r="166" spans="1:20" ht="15" customHeight="1" x14ac:dyDescent="0.25">
      <c r="A166" s="4" t="s">
        <v>2489</v>
      </c>
      <c r="B166" s="2" t="s">
        <v>2487</v>
      </c>
      <c r="C166" s="2" t="s">
        <v>2488</v>
      </c>
      <c r="D166" s="5" t="s">
        <v>2490</v>
      </c>
      <c r="E166" s="4" t="s">
        <v>2491</v>
      </c>
      <c r="F166" s="6">
        <v>14236763</v>
      </c>
      <c r="G166" s="3">
        <v>14236763</v>
      </c>
      <c r="H166" s="7">
        <v>733004780110</v>
      </c>
      <c r="I166" s="8" t="s">
        <v>3374</v>
      </c>
      <c r="J166" s="4">
        <v>1</v>
      </c>
      <c r="K166" s="9">
        <v>7.99</v>
      </c>
      <c r="L166" s="9">
        <v>7.99</v>
      </c>
      <c r="M166" s="4" t="s">
        <v>3126</v>
      </c>
      <c r="N166" s="4" t="s">
        <v>2567</v>
      </c>
      <c r="O166" s="4">
        <v>5</v>
      </c>
      <c r="P166" s="4" t="s">
        <v>2602</v>
      </c>
      <c r="Q166" s="4" t="s">
        <v>2528</v>
      </c>
      <c r="R166" s="4"/>
      <c r="S166" s="4"/>
      <c r="T166" s="4" t="str">
        <f>HYPERLINK("http://slimages.macys.com/is/image/MCY/20450165 ")</f>
        <v xml:space="preserve">http://slimages.macys.com/is/image/MCY/20450165 </v>
      </c>
    </row>
    <row r="167" spans="1:20" ht="15" customHeight="1" x14ac:dyDescent="0.25">
      <c r="A167" s="4" t="s">
        <v>2489</v>
      </c>
      <c r="B167" s="2" t="s">
        <v>2487</v>
      </c>
      <c r="C167" s="2" t="s">
        <v>2488</v>
      </c>
      <c r="D167" s="5" t="s">
        <v>2490</v>
      </c>
      <c r="E167" s="4" t="s">
        <v>2491</v>
      </c>
      <c r="F167" s="6">
        <v>14236763</v>
      </c>
      <c r="G167" s="3">
        <v>14236763</v>
      </c>
      <c r="H167" s="7">
        <v>733004748141</v>
      </c>
      <c r="I167" s="8" t="s">
        <v>2636</v>
      </c>
      <c r="J167" s="4">
        <v>1</v>
      </c>
      <c r="K167" s="9">
        <v>7.99</v>
      </c>
      <c r="L167" s="9">
        <v>7.99</v>
      </c>
      <c r="M167" s="4" t="s">
        <v>2637</v>
      </c>
      <c r="N167" s="4" t="s">
        <v>2638</v>
      </c>
      <c r="O167" s="4" t="s">
        <v>2629</v>
      </c>
      <c r="P167" s="4" t="s">
        <v>2503</v>
      </c>
      <c r="Q167" s="4" t="s">
        <v>2504</v>
      </c>
      <c r="R167" s="4"/>
      <c r="S167" s="4"/>
      <c r="T167" s="4" t="str">
        <f>HYPERLINK("http://slimages.macys.com/is/image/MCY/19977505 ")</f>
        <v xml:space="preserve">http://slimages.macys.com/is/image/MCY/19977505 </v>
      </c>
    </row>
    <row r="168" spans="1:20" ht="15" customHeight="1" x14ac:dyDescent="0.25">
      <c r="A168" s="4" t="s">
        <v>2489</v>
      </c>
      <c r="B168" s="2" t="s">
        <v>2487</v>
      </c>
      <c r="C168" s="2" t="s">
        <v>2488</v>
      </c>
      <c r="D168" s="5" t="s">
        <v>2490</v>
      </c>
      <c r="E168" s="4" t="s">
        <v>2491</v>
      </c>
      <c r="F168" s="6">
        <v>14236763</v>
      </c>
      <c r="G168" s="3">
        <v>14236763</v>
      </c>
      <c r="H168" s="7">
        <v>195883942179</v>
      </c>
      <c r="I168" s="8" t="s">
        <v>3171</v>
      </c>
      <c r="J168" s="4">
        <v>1</v>
      </c>
      <c r="K168" s="9">
        <v>7.99</v>
      </c>
      <c r="L168" s="9">
        <v>7.99</v>
      </c>
      <c r="M168" s="4" t="s">
        <v>3105</v>
      </c>
      <c r="N168" s="4" t="s">
        <v>2497</v>
      </c>
      <c r="O168" s="4">
        <v>4</v>
      </c>
      <c r="P168" s="4" t="s">
        <v>2506</v>
      </c>
      <c r="Q168" s="4" t="s">
        <v>2527</v>
      </c>
      <c r="R168" s="4"/>
      <c r="S168" s="4"/>
      <c r="T168" s="4" t="str">
        <f>HYPERLINK("http://slimages.macys.com/is/image/MCY/20726224 ")</f>
        <v xml:space="preserve">http://slimages.macys.com/is/image/MCY/20726224 </v>
      </c>
    </row>
    <row r="169" spans="1:20" ht="15" customHeight="1" x14ac:dyDescent="0.25">
      <c r="A169" s="4" t="s">
        <v>2489</v>
      </c>
      <c r="B169" s="2" t="s">
        <v>2487</v>
      </c>
      <c r="C169" s="2" t="s">
        <v>2488</v>
      </c>
      <c r="D169" s="5" t="s">
        <v>2490</v>
      </c>
      <c r="E169" s="4" t="s">
        <v>2491</v>
      </c>
      <c r="F169" s="6">
        <v>14236763</v>
      </c>
      <c r="G169" s="3">
        <v>14236763</v>
      </c>
      <c r="H169" s="7">
        <v>195883641959</v>
      </c>
      <c r="I169" s="8" t="s">
        <v>1412</v>
      </c>
      <c r="J169" s="4">
        <v>1</v>
      </c>
      <c r="K169" s="9">
        <v>7.99</v>
      </c>
      <c r="L169" s="9">
        <v>7.99</v>
      </c>
      <c r="M169" s="4" t="s">
        <v>1834</v>
      </c>
      <c r="N169" s="4" t="s">
        <v>2505</v>
      </c>
      <c r="O169" s="4">
        <v>2</v>
      </c>
      <c r="P169" s="4" t="s">
        <v>2506</v>
      </c>
      <c r="Q169" s="4" t="s">
        <v>2527</v>
      </c>
      <c r="R169" s="4"/>
      <c r="S169" s="4"/>
      <c r="T169" s="4" t="str">
        <f>HYPERLINK("http://slimages.macys.com/is/image/MCY/20726204 ")</f>
        <v xml:space="preserve">http://slimages.macys.com/is/image/MCY/20726204 </v>
      </c>
    </row>
    <row r="170" spans="1:20" ht="15" customHeight="1" x14ac:dyDescent="0.25">
      <c r="A170" s="4" t="s">
        <v>2489</v>
      </c>
      <c r="B170" s="2" t="s">
        <v>2487</v>
      </c>
      <c r="C170" s="2" t="s">
        <v>2488</v>
      </c>
      <c r="D170" s="5" t="s">
        <v>2490</v>
      </c>
      <c r="E170" s="4" t="s">
        <v>2491</v>
      </c>
      <c r="F170" s="6">
        <v>14236763</v>
      </c>
      <c r="G170" s="3">
        <v>14236763</v>
      </c>
      <c r="H170" s="7">
        <v>762120016193</v>
      </c>
      <c r="I170" s="8" t="s">
        <v>869</v>
      </c>
      <c r="J170" s="4">
        <v>1</v>
      </c>
      <c r="K170" s="9">
        <v>11.99</v>
      </c>
      <c r="L170" s="9">
        <v>11.99</v>
      </c>
      <c r="M170" s="4" t="s">
        <v>3063</v>
      </c>
      <c r="N170" s="4" t="s">
        <v>2497</v>
      </c>
      <c r="O170" s="4" t="s">
        <v>2519</v>
      </c>
      <c r="P170" s="4" t="s">
        <v>2520</v>
      </c>
      <c r="Q170" s="4" t="s">
        <v>2521</v>
      </c>
      <c r="R170" s="4"/>
      <c r="S170" s="4"/>
      <c r="T170" s="4" t="str">
        <f>HYPERLINK("http://slimages.macys.com/is/image/MCY/20673071 ")</f>
        <v xml:space="preserve">http://slimages.macys.com/is/image/MCY/20673071 </v>
      </c>
    </row>
    <row r="171" spans="1:20" ht="15" customHeight="1" x14ac:dyDescent="0.25">
      <c r="A171" s="4" t="s">
        <v>2489</v>
      </c>
      <c r="B171" s="2" t="s">
        <v>2487</v>
      </c>
      <c r="C171" s="2" t="s">
        <v>2488</v>
      </c>
      <c r="D171" s="5" t="s">
        <v>2490</v>
      </c>
      <c r="E171" s="4" t="s">
        <v>2491</v>
      </c>
      <c r="F171" s="6">
        <v>14236763</v>
      </c>
      <c r="G171" s="3">
        <v>14236763</v>
      </c>
      <c r="H171" s="7">
        <v>194870625033</v>
      </c>
      <c r="I171" s="8" t="s">
        <v>870</v>
      </c>
      <c r="J171" s="4">
        <v>1</v>
      </c>
      <c r="K171" s="9">
        <v>13.99</v>
      </c>
      <c r="L171" s="9">
        <v>13.99</v>
      </c>
      <c r="M171" s="4" t="s">
        <v>1616</v>
      </c>
      <c r="N171" s="4" t="s">
        <v>2567</v>
      </c>
      <c r="O171" s="4">
        <v>6</v>
      </c>
      <c r="P171" s="4" t="s">
        <v>2499</v>
      </c>
      <c r="Q171" s="4" t="s">
        <v>2663</v>
      </c>
      <c r="R171" s="4"/>
      <c r="S171" s="4"/>
      <c r="T171" s="4" t="str">
        <f>HYPERLINK("http://slimages.macys.com/is/image/MCY/19719601 ")</f>
        <v xml:space="preserve">http://slimages.macys.com/is/image/MCY/19719601 </v>
      </c>
    </row>
    <row r="172" spans="1:20" ht="15" customHeight="1" x14ac:dyDescent="0.25">
      <c r="A172" s="4" t="s">
        <v>2489</v>
      </c>
      <c r="B172" s="2" t="s">
        <v>2487</v>
      </c>
      <c r="C172" s="2" t="s">
        <v>2488</v>
      </c>
      <c r="D172" s="5" t="s">
        <v>2490</v>
      </c>
      <c r="E172" s="4" t="s">
        <v>2491</v>
      </c>
      <c r="F172" s="6">
        <v>14236763</v>
      </c>
      <c r="G172" s="3">
        <v>14236763</v>
      </c>
      <c r="H172" s="7">
        <v>195883642246</v>
      </c>
      <c r="I172" s="8" t="s">
        <v>1485</v>
      </c>
      <c r="J172" s="4">
        <v>1</v>
      </c>
      <c r="K172" s="9">
        <v>7.99</v>
      </c>
      <c r="L172" s="9">
        <v>7.99</v>
      </c>
      <c r="M172" s="4" t="s">
        <v>2808</v>
      </c>
      <c r="N172" s="4" t="s">
        <v>2664</v>
      </c>
      <c r="O172" s="4">
        <v>7</v>
      </c>
      <c r="P172" s="4" t="s">
        <v>2506</v>
      </c>
      <c r="Q172" s="4" t="s">
        <v>2527</v>
      </c>
      <c r="R172" s="4"/>
      <c r="S172" s="4"/>
      <c r="T172" s="4" t="str">
        <f>HYPERLINK("http://slimages.macys.com/is/image/MCY/20726218 ")</f>
        <v xml:space="preserve">http://slimages.macys.com/is/image/MCY/20726218 </v>
      </c>
    </row>
    <row r="173" spans="1:20" ht="15" customHeight="1" x14ac:dyDescent="0.25">
      <c r="A173" s="4" t="s">
        <v>2489</v>
      </c>
      <c r="B173" s="2" t="s">
        <v>2487</v>
      </c>
      <c r="C173" s="2" t="s">
        <v>2488</v>
      </c>
      <c r="D173" s="5" t="s">
        <v>2490</v>
      </c>
      <c r="E173" s="4" t="s">
        <v>2491</v>
      </c>
      <c r="F173" s="6">
        <v>14236763</v>
      </c>
      <c r="G173" s="3">
        <v>14236763</v>
      </c>
      <c r="H173" s="7">
        <v>195883380605</v>
      </c>
      <c r="I173" s="8" t="s">
        <v>871</v>
      </c>
      <c r="J173" s="4">
        <v>1</v>
      </c>
      <c r="K173" s="9">
        <v>8.99</v>
      </c>
      <c r="L173" s="9">
        <v>8.99</v>
      </c>
      <c r="M173" s="4" t="s">
        <v>2744</v>
      </c>
      <c r="N173" s="4" t="s">
        <v>2526</v>
      </c>
      <c r="O173" s="4">
        <v>6</v>
      </c>
      <c r="P173" s="4" t="s">
        <v>2506</v>
      </c>
      <c r="Q173" s="4" t="s">
        <v>2527</v>
      </c>
      <c r="R173" s="4"/>
      <c r="S173" s="4"/>
      <c r="T173" s="4" t="str">
        <f>HYPERLINK("http://slimages.macys.com/is/image/MCY/20192077 ")</f>
        <v xml:space="preserve">http://slimages.macys.com/is/image/MCY/20192077 </v>
      </c>
    </row>
    <row r="174" spans="1:20" ht="15" customHeight="1" x14ac:dyDescent="0.25">
      <c r="A174" s="4" t="s">
        <v>2489</v>
      </c>
      <c r="B174" s="2" t="s">
        <v>2487</v>
      </c>
      <c r="C174" s="2" t="s">
        <v>2488</v>
      </c>
      <c r="D174" s="5" t="s">
        <v>2490</v>
      </c>
      <c r="E174" s="4" t="s">
        <v>2491</v>
      </c>
      <c r="F174" s="6">
        <v>14236763</v>
      </c>
      <c r="G174" s="3">
        <v>14236763</v>
      </c>
      <c r="H174" s="7">
        <v>194133539206</v>
      </c>
      <c r="I174" s="8" t="s">
        <v>872</v>
      </c>
      <c r="J174" s="4">
        <v>1</v>
      </c>
      <c r="K174" s="9">
        <v>12.78</v>
      </c>
      <c r="L174" s="9">
        <v>12.78</v>
      </c>
      <c r="M174" s="4" t="s">
        <v>873</v>
      </c>
      <c r="N174" s="4"/>
      <c r="O174" s="4" t="s">
        <v>2502</v>
      </c>
      <c r="P174" s="4" t="s">
        <v>2494</v>
      </c>
      <c r="Q174" s="4" t="s">
        <v>2560</v>
      </c>
      <c r="R174" s="4"/>
      <c r="S174" s="4"/>
      <c r="T174" s="4" t="str">
        <f>HYPERLINK("http://slimages.macys.com/is/image/MCY/19836169 ")</f>
        <v xml:space="preserve">http://slimages.macys.com/is/image/MCY/19836169 </v>
      </c>
    </row>
    <row r="175" spans="1:20" ht="15" customHeight="1" x14ac:dyDescent="0.25">
      <c r="A175" s="4" t="s">
        <v>2489</v>
      </c>
      <c r="B175" s="2" t="s">
        <v>2487</v>
      </c>
      <c r="C175" s="2" t="s">
        <v>2488</v>
      </c>
      <c r="D175" s="5" t="s">
        <v>2490</v>
      </c>
      <c r="E175" s="4" t="s">
        <v>2491</v>
      </c>
      <c r="F175" s="6">
        <v>14236763</v>
      </c>
      <c r="G175" s="3">
        <v>14236763</v>
      </c>
      <c r="H175" s="7">
        <v>733004752926</v>
      </c>
      <c r="I175" s="8" t="s">
        <v>874</v>
      </c>
      <c r="J175" s="4">
        <v>1</v>
      </c>
      <c r="K175" s="9">
        <v>14.99</v>
      </c>
      <c r="L175" s="9">
        <v>14.99</v>
      </c>
      <c r="M175" s="4" t="s">
        <v>2123</v>
      </c>
      <c r="N175" s="4" t="s">
        <v>2548</v>
      </c>
      <c r="O175" s="4" t="s">
        <v>2519</v>
      </c>
      <c r="P175" s="4" t="s">
        <v>2543</v>
      </c>
      <c r="Q175" s="4" t="s">
        <v>2528</v>
      </c>
      <c r="R175" s="4"/>
      <c r="S175" s="4"/>
      <c r="T175" s="4" t="str">
        <f>HYPERLINK("http://slimages.macys.com/is/image/MCY/20440836 ")</f>
        <v xml:space="preserve">http://slimages.macys.com/is/image/MCY/20440836 </v>
      </c>
    </row>
    <row r="176" spans="1:20" ht="15" customHeight="1" x14ac:dyDescent="0.25">
      <c r="A176" s="4" t="s">
        <v>2489</v>
      </c>
      <c r="B176" s="2" t="s">
        <v>2487</v>
      </c>
      <c r="C176" s="2" t="s">
        <v>2488</v>
      </c>
      <c r="D176" s="5" t="s">
        <v>2490</v>
      </c>
      <c r="E176" s="4" t="s">
        <v>2491</v>
      </c>
      <c r="F176" s="6">
        <v>14236763</v>
      </c>
      <c r="G176" s="3">
        <v>14236763</v>
      </c>
      <c r="H176" s="7">
        <v>733004780707</v>
      </c>
      <c r="I176" s="8" t="s">
        <v>3214</v>
      </c>
      <c r="J176" s="4">
        <v>1</v>
      </c>
      <c r="K176" s="9">
        <v>11.99</v>
      </c>
      <c r="L176" s="9">
        <v>11.99</v>
      </c>
      <c r="M176" s="4" t="s">
        <v>3083</v>
      </c>
      <c r="N176" s="4" t="s">
        <v>2638</v>
      </c>
      <c r="O176" s="4" t="s">
        <v>2629</v>
      </c>
      <c r="P176" s="4" t="s">
        <v>2602</v>
      </c>
      <c r="Q176" s="4" t="s">
        <v>2528</v>
      </c>
      <c r="R176" s="4"/>
      <c r="S176" s="4"/>
      <c r="T176" s="4" t="str">
        <f>HYPERLINK("http://slimages.macys.com/is/image/MCY/20450174 ")</f>
        <v xml:space="preserve">http://slimages.macys.com/is/image/MCY/20450174 </v>
      </c>
    </row>
    <row r="177" spans="1:20" ht="15" customHeight="1" x14ac:dyDescent="0.25">
      <c r="A177" s="4" t="s">
        <v>2489</v>
      </c>
      <c r="B177" s="2" t="s">
        <v>2487</v>
      </c>
      <c r="C177" s="2" t="s">
        <v>2488</v>
      </c>
      <c r="D177" s="5" t="s">
        <v>2490</v>
      </c>
      <c r="E177" s="4" t="s">
        <v>2491</v>
      </c>
      <c r="F177" s="6">
        <v>14236763</v>
      </c>
      <c r="G177" s="3">
        <v>14236763</v>
      </c>
      <c r="H177" s="7">
        <v>194133547676</v>
      </c>
      <c r="I177" s="8" t="s">
        <v>1424</v>
      </c>
      <c r="J177" s="4">
        <v>1</v>
      </c>
      <c r="K177" s="9">
        <v>17.29</v>
      </c>
      <c r="L177" s="9">
        <v>17.29</v>
      </c>
      <c r="M177" s="4" t="s">
        <v>1790</v>
      </c>
      <c r="N177" s="4"/>
      <c r="O177" s="4" t="s">
        <v>2607</v>
      </c>
      <c r="P177" s="4" t="s">
        <v>2494</v>
      </c>
      <c r="Q177" s="4" t="s">
        <v>2495</v>
      </c>
      <c r="R177" s="4"/>
      <c r="S177" s="4"/>
      <c r="T177" s="4" t="str">
        <f>HYPERLINK("http://slimages.macys.com/is/image/MCY/19917111 ")</f>
        <v xml:space="preserve">http://slimages.macys.com/is/image/MCY/19917111 </v>
      </c>
    </row>
    <row r="178" spans="1:20" ht="15" customHeight="1" x14ac:dyDescent="0.25">
      <c r="A178" s="4" t="s">
        <v>2489</v>
      </c>
      <c r="B178" s="2" t="s">
        <v>2487</v>
      </c>
      <c r="C178" s="2" t="s">
        <v>2488</v>
      </c>
      <c r="D178" s="5" t="s">
        <v>2490</v>
      </c>
      <c r="E178" s="4" t="s">
        <v>2491</v>
      </c>
      <c r="F178" s="6">
        <v>14236763</v>
      </c>
      <c r="G178" s="3">
        <v>14236763</v>
      </c>
      <c r="H178" s="7">
        <v>733004743672</v>
      </c>
      <c r="I178" s="8" t="s">
        <v>875</v>
      </c>
      <c r="J178" s="4">
        <v>1</v>
      </c>
      <c r="K178" s="9">
        <v>7.99</v>
      </c>
      <c r="L178" s="9">
        <v>7.99</v>
      </c>
      <c r="M178" s="4" t="s">
        <v>2046</v>
      </c>
      <c r="N178" s="4" t="s">
        <v>2638</v>
      </c>
      <c r="O178" s="4" t="s">
        <v>2628</v>
      </c>
      <c r="P178" s="4" t="s">
        <v>2503</v>
      </c>
      <c r="Q178" s="4" t="s">
        <v>2504</v>
      </c>
      <c r="R178" s="4"/>
      <c r="S178" s="4"/>
      <c r="T178" s="4" t="str">
        <f>HYPERLINK("http://slimages.macys.com/is/image/MCY/1061671 ")</f>
        <v xml:space="preserve">http://slimages.macys.com/is/image/MCY/1061671 </v>
      </c>
    </row>
    <row r="179" spans="1:20" ht="15" customHeight="1" x14ac:dyDescent="0.25">
      <c r="A179" s="4" t="s">
        <v>2489</v>
      </c>
      <c r="B179" s="2" t="s">
        <v>2487</v>
      </c>
      <c r="C179" s="2" t="s">
        <v>2488</v>
      </c>
      <c r="D179" s="5" t="s">
        <v>2490</v>
      </c>
      <c r="E179" s="4" t="s">
        <v>2491</v>
      </c>
      <c r="F179" s="6">
        <v>14236763</v>
      </c>
      <c r="G179" s="3">
        <v>14236763</v>
      </c>
      <c r="H179" s="7">
        <v>733004740022</v>
      </c>
      <c r="I179" s="8" t="s">
        <v>876</v>
      </c>
      <c r="J179" s="4">
        <v>2</v>
      </c>
      <c r="K179" s="9">
        <v>5.99</v>
      </c>
      <c r="L179" s="9">
        <v>11.98</v>
      </c>
      <c r="M179" s="4" t="s">
        <v>3357</v>
      </c>
      <c r="N179" s="4" t="s">
        <v>2501</v>
      </c>
      <c r="O179" s="4" t="s">
        <v>2493</v>
      </c>
      <c r="P179" s="4" t="s">
        <v>2503</v>
      </c>
      <c r="Q179" s="4" t="s">
        <v>2504</v>
      </c>
      <c r="R179" s="4"/>
      <c r="S179" s="4"/>
      <c r="T179" s="4" t="str">
        <f>HYPERLINK("http://slimages.macys.com/is/image/MCY/19977819 ")</f>
        <v xml:space="preserve">http://slimages.macys.com/is/image/MCY/19977819 </v>
      </c>
    </row>
    <row r="180" spans="1:20" ht="15" customHeight="1" x14ac:dyDescent="0.25">
      <c r="A180" s="4" t="s">
        <v>2489</v>
      </c>
      <c r="B180" s="2" t="s">
        <v>2487</v>
      </c>
      <c r="C180" s="2" t="s">
        <v>2488</v>
      </c>
      <c r="D180" s="5" t="s">
        <v>2490</v>
      </c>
      <c r="E180" s="4" t="s">
        <v>2491</v>
      </c>
      <c r="F180" s="6">
        <v>14236763</v>
      </c>
      <c r="G180" s="3">
        <v>14236763</v>
      </c>
      <c r="H180" s="7">
        <v>194135566064</v>
      </c>
      <c r="I180" s="8" t="s">
        <v>877</v>
      </c>
      <c r="J180" s="4">
        <v>2</v>
      </c>
      <c r="K180" s="9">
        <v>25.07</v>
      </c>
      <c r="L180" s="9">
        <v>50.14</v>
      </c>
      <c r="M180" s="4" t="s">
        <v>878</v>
      </c>
      <c r="N180" s="4"/>
      <c r="O180" s="4" t="s">
        <v>2559</v>
      </c>
      <c r="P180" s="4" t="s">
        <v>2494</v>
      </c>
      <c r="Q180" s="4" t="s">
        <v>2560</v>
      </c>
      <c r="R180" s="4"/>
      <c r="S180" s="4"/>
      <c r="T180" s="4" t="str">
        <f>HYPERLINK("http://slimages.macys.com/is/image/MCY/19837097 ")</f>
        <v xml:space="preserve">http://slimages.macys.com/is/image/MCY/19837097 </v>
      </c>
    </row>
    <row r="181" spans="1:20" ht="15" customHeight="1" x14ac:dyDescent="0.25">
      <c r="A181" s="4" t="s">
        <v>2489</v>
      </c>
      <c r="B181" s="2" t="s">
        <v>2487</v>
      </c>
      <c r="C181" s="2" t="s">
        <v>2488</v>
      </c>
      <c r="D181" s="5" t="s">
        <v>2490</v>
      </c>
      <c r="E181" s="4" t="s">
        <v>2491</v>
      </c>
      <c r="F181" s="6">
        <v>14236763</v>
      </c>
      <c r="G181" s="3">
        <v>14236763</v>
      </c>
      <c r="H181" s="7">
        <v>733004952500</v>
      </c>
      <c r="I181" s="8" t="s">
        <v>879</v>
      </c>
      <c r="J181" s="4">
        <v>1</v>
      </c>
      <c r="K181" s="9">
        <v>13.99</v>
      </c>
      <c r="L181" s="9">
        <v>13.99</v>
      </c>
      <c r="M181" s="4" t="s">
        <v>3019</v>
      </c>
      <c r="N181" s="4" t="s">
        <v>2565</v>
      </c>
      <c r="O181" s="4" t="s">
        <v>2566</v>
      </c>
      <c r="P181" s="4" t="s">
        <v>2503</v>
      </c>
      <c r="Q181" s="4" t="s">
        <v>2504</v>
      </c>
      <c r="R181" s="4"/>
      <c r="S181" s="4"/>
      <c r="T181" s="4" t="str">
        <f>HYPERLINK("http://slimages.macys.com/is/image/MCY/1070791 ")</f>
        <v xml:space="preserve">http://slimages.macys.com/is/image/MCY/1070791 </v>
      </c>
    </row>
    <row r="182" spans="1:20" ht="15" customHeight="1" x14ac:dyDescent="0.25">
      <c r="A182" s="4" t="s">
        <v>2489</v>
      </c>
      <c r="B182" s="2" t="s">
        <v>2487</v>
      </c>
      <c r="C182" s="2" t="s">
        <v>2488</v>
      </c>
      <c r="D182" s="5" t="s">
        <v>2490</v>
      </c>
      <c r="E182" s="4" t="s">
        <v>2491</v>
      </c>
      <c r="F182" s="6">
        <v>14236763</v>
      </c>
      <c r="G182" s="3">
        <v>14236763</v>
      </c>
      <c r="H182" s="7">
        <v>194135261921</v>
      </c>
      <c r="I182" s="8" t="s">
        <v>880</v>
      </c>
      <c r="J182" s="4">
        <v>1</v>
      </c>
      <c r="K182" s="9">
        <v>10.92</v>
      </c>
      <c r="L182" s="9">
        <v>10.92</v>
      </c>
      <c r="M182" s="4" t="s">
        <v>881</v>
      </c>
      <c r="N182" s="4" t="s">
        <v>2501</v>
      </c>
      <c r="O182" s="4" t="s">
        <v>2493</v>
      </c>
      <c r="P182" s="4" t="s">
        <v>2494</v>
      </c>
      <c r="Q182" s="4" t="s">
        <v>2495</v>
      </c>
      <c r="R182" s="4"/>
      <c r="S182" s="4"/>
      <c r="T182" s="4" t="str">
        <f>HYPERLINK("http://slimages.macys.com/is/image/MCY/19019149 ")</f>
        <v xml:space="preserve">http://slimages.macys.com/is/image/MCY/19019149 </v>
      </c>
    </row>
    <row r="183" spans="1:20" ht="15" customHeight="1" x14ac:dyDescent="0.25">
      <c r="A183" s="4" t="s">
        <v>2489</v>
      </c>
      <c r="B183" s="2" t="s">
        <v>2487</v>
      </c>
      <c r="C183" s="2" t="s">
        <v>2488</v>
      </c>
      <c r="D183" s="5" t="s">
        <v>2490</v>
      </c>
      <c r="E183" s="4" t="s">
        <v>2491</v>
      </c>
      <c r="F183" s="6">
        <v>14236763</v>
      </c>
      <c r="G183" s="3">
        <v>14236763</v>
      </c>
      <c r="H183" s="7">
        <v>194133539657</v>
      </c>
      <c r="I183" s="8" t="s">
        <v>882</v>
      </c>
      <c r="J183" s="4">
        <v>1</v>
      </c>
      <c r="K183" s="9">
        <v>12.78</v>
      </c>
      <c r="L183" s="9">
        <v>12.78</v>
      </c>
      <c r="M183" s="4" t="s">
        <v>883</v>
      </c>
      <c r="N183" s="4"/>
      <c r="O183" s="4" t="s">
        <v>2502</v>
      </c>
      <c r="P183" s="4" t="s">
        <v>2494</v>
      </c>
      <c r="Q183" s="4" t="s">
        <v>2560</v>
      </c>
      <c r="R183" s="4"/>
      <c r="S183" s="4"/>
      <c r="T183" s="4" t="str">
        <f>HYPERLINK("http://slimages.macys.com/is/image/MCY/19934801 ")</f>
        <v xml:space="preserve">http://slimages.macys.com/is/image/MCY/19934801 </v>
      </c>
    </row>
    <row r="184" spans="1:20" ht="15" customHeight="1" x14ac:dyDescent="0.25">
      <c r="A184" s="4" t="s">
        <v>2489</v>
      </c>
      <c r="B184" s="2" t="s">
        <v>2487</v>
      </c>
      <c r="C184" s="2" t="s">
        <v>2488</v>
      </c>
      <c r="D184" s="5" t="s">
        <v>2490</v>
      </c>
      <c r="E184" s="4" t="s">
        <v>2491</v>
      </c>
      <c r="F184" s="6">
        <v>14236763</v>
      </c>
      <c r="G184" s="3">
        <v>14236763</v>
      </c>
      <c r="H184" s="7">
        <v>733004883460</v>
      </c>
      <c r="I184" s="8" t="s">
        <v>1214</v>
      </c>
      <c r="J184" s="4">
        <v>1</v>
      </c>
      <c r="K184" s="9">
        <v>6.99</v>
      </c>
      <c r="L184" s="9">
        <v>6.99</v>
      </c>
      <c r="M184" s="4" t="s">
        <v>1971</v>
      </c>
      <c r="N184" s="4" t="s">
        <v>2501</v>
      </c>
      <c r="O184" s="4" t="s">
        <v>2607</v>
      </c>
      <c r="P184" s="4" t="s">
        <v>2503</v>
      </c>
      <c r="Q184" s="4" t="s">
        <v>2504</v>
      </c>
      <c r="R184" s="4"/>
      <c r="S184" s="4"/>
      <c r="T184" s="4" t="str">
        <f>HYPERLINK("http://slimages.macys.com/is/image/MCY/20143215 ")</f>
        <v xml:space="preserve">http://slimages.macys.com/is/image/MCY/20143215 </v>
      </c>
    </row>
    <row r="185" spans="1:20" ht="15" customHeight="1" x14ac:dyDescent="0.25">
      <c r="A185" s="4" t="s">
        <v>2489</v>
      </c>
      <c r="B185" s="2" t="s">
        <v>2487</v>
      </c>
      <c r="C185" s="2" t="s">
        <v>2488</v>
      </c>
      <c r="D185" s="5" t="s">
        <v>2490</v>
      </c>
      <c r="E185" s="4" t="s">
        <v>2491</v>
      </c>
      <c r="F185" s="6">
        <v>14236763</v>
      </c>
      <c r="G185" s="3">
        <v>14236763</v>
      </c>
      <c r="H185" s="7">
        <v>733001050674</v>
      </c>
      <c r="I185" s="8" t="s">
        <v>2673</v>
      </c>
      <c r="J185" s="4">
        <v>1</v>
      </c>
      <c r="K185" s="9">
        <v>8.99</v>
      </c>
      <c r="L185" s="9">
        <v>8.99</v>
      </c>
      <c r="M185" s="4" t="s">
        <v>2674</v>
      </c>
      <c r="N185" s="4" t="s">
        <v>2501</v>
      </c>
      <c r="O185" s="4" t="s">
        <v>2566</v>
      </c>
      <c r="P185" s="4" t="s">
        <v>2503</v>
      </c>
      <c r="Q185" s="4" t="s">
        <v>2504</v>
      </c>
      <c r="R185" s="4"/>
      <c r="S185" s="4"/>
      <c r="T185" s="4" t="str">
        <f>HYPERLINK("http://slimages.macys.com/is/image/MCY/17586312 ")</f>
        <v xml:space="preserve">http://slimages.macys.com/is/image/MCY/17586312 </v>
      </c>
    </row>
    <row r="186" spans="1:20" ht="15" customHeight="1" x14ac:dyDescent="0.25">
      <c r="A186" s="4" t="s">
        <v>2489</v>
      </c>
      <c r="B186" s="2" t="s">
        <v>2487</v>
      </c>
      <c r="C186" s="2" t="s">
        <v>2488</v>
      </c>
      <c r="D186" s="5" t="s">
        <v>2490</v>
      </c>
      <c r="E186" s="4" t="s">
        <v>2491</v>
      </c>
      <c r="F186" s="6">
        <v>14236763</v>
      </c>
      <c r="G186" s="3">
        <v>14236763</v>
      </c>
      <c r="H186" s="7">
        <v>733004883729</v>
      </c>
      <c r="I186" s="8" t="s">
        <v>2825</v>
      </c>
      <c r="J186" s="4">
        <v>2</v>
      </c>
      <c r="K186" s="9">
        <v>6.99</v>
      </c>
      <c r="L186" s="9">
        <v>13.98</v>
      </c>
      <c r="M186" s="4" t="s">
        <v>2826</v>
      </c>
      <c r="N186" s="4" t="s">
        <v>2505</v>
      </c>
      <c r="O186" s="4" t="s">
        <v>2566</v>
      </c>
      <c r="P186" s="4" t="s">
        <v>2503</v>
      </c>
      <c r="Q186" s="4" t="s">
        <v>2504</v>
      </c>
      <c r="R186" s="4"/>
      <c r="S186" s="4"/>
      <c r="T186" s="4" t="str">
        <f>HYPERLINK("http://slimages.macys.com/is/image/MCY/20142535 ")</f>
        <v xml:space="preserve">http://slimages.macys.com/is/image/MCY/20142535 </v>
      </c>
    </row>
    <row r="187" spans="1:20" ht="15" customHeight="1" x14ac:dyDescent="0.25">
      <c r="A187" s="4" t="s">
        <v>2489</v>
      </c>
      <c r="B187" s="2" t="s">
        <v>2487</v>
      </c>
      <c r="C187" s="2" t="s">
        <v>2488</v>
      </c>
      <c r="D187" s="5" t="s">
        <v>2490</v>
      </c>
      <c r="E187" s="4" t="s">
        <v>2491</v>
      </c>
      <c r="F187" s="6">
        <v>14236763</v>
      </c>
      <c r="G187" s="3">
        <v>14236763</v>
      </c>
      <c r="H187" s="7">
        <v>194135463448</v>
      </c>
      <c r="I187" s="8" t="s">
        <v>2594</v>
      </c>
      <c r="J187" s="4">
        <v>1</v>
      </c>
      <c r="K187" s="9">
        <v>14.45</v>
      </c>
      <c r="L187" s="9">
        <v>14.45</v>
      </c>
      <c r="M187" s="4" t="s">
        <v>2595</v>
      </c>
      <c r="N187" s="4" t="s">
        <v>2596</v>
      </c>
      <c r="O187" s="4" t="s">
        <v>2597</v>
      </c>
      <c r="P187" s="4" t="s">
        <v>2494</v>
      </c>
      <c r="Q187" s="4" t="s">
        <v>2495</v>
      </c>
      <c r="R187" s="4"/>
      <c r="S187" s="4"/>
      <c r="T187" s="4" t="str">
        <f>HYPERLINK("http://slimages.macys.com/is/image/MCY/19836745 ")</f>
        <v xml:space="preserve">http://slimages.macys.com/is/image/MCY/19836745 </v>
      </c>
    </row>
    <row r="188" spans="1:20" ht="15" customHeight="1" x14ac:dyDescent="0.25">
      <c r="A188" s="4" t="s">
        <v>2489</v>
      </c>
      <c r="B188" s="2" t="s">
        <v>2487</v>
      </c>
      <c r="C188" s="2" t="s">
        <v>2488</v>
      </c>
      <c r="D188" s="5" t="s">
        <v>2490</v>
      </c>
      <c r="E188" s="4" t="s">
        <v>2491</v>
      </c>
      <c r="F188" s="6">
        <v>14236763</v>
      </c>
      <c r="G188" s="3">
        <v>14236763</v>
      </c>
      <c r="H188" s="7">
        <v>733002283729</v>
      </c>
      <c r="I188" s="8" t="s">
        <v>3423</v>
      </c>
      <c r="J188" s="4">
        <v>1</v>
      </c>
      <c r="K188" s="9">
        <v>6.99</v>
      </c>
      <c r="L188" s="9">
        <v>6.99</v>
      </c>
      <c r="M188" s="4" t="s">
        <v>3064</v>
      </c>
      <c r="N188" s="4" t="s">
        <v>2804</v>
      </c>
      <c r="O188" s="4" t="s">
        <v>2519</v>
      </c>
      <c r="P188" s="4" t="s">
        <v>2520</v>
      </c>
      <c r="Q188" s="4" t="s">
        <v>2521</v>
      </c>
      <c r="R188" s="4"/>
      <c r="S188" s="4"/>
      <c r="T188" s="4" t="str">
        <f>HYPERLINK("http://slimages.macys.com/is/image/MCY/19257819 ")</f>
        <v xml:space="preserve">http://slimages.macys.com/is/image/MCY/19257819 </v>
      </c>
    </row>
    <row r="189" spans="1:20" ht="15" customHeight="1" x14ac:dyDescent="0.25">
      <c r="A189" s="4" t="s">
        <v>2489</v>
      </c>
      <c r="B189" s="2" t="s">
        <v>2487</v>
      </c>
      <c r="C189" s="2" t="s">
        <v>2488</v>
      </c>
      <c r="D189" s="5" t="s">
        <v>2490</v>
      </c>
      <c r="E189" s="4" t="s">
        <v>2491</v>
      </c>
      <c r="F189" s="6">
        <v>14236763</v>
      </c>
      <c r="G189" s="3">
        <v>14236763</v>
      </c>
      <c r="H189" s="7">
        <v>194753985308</v>
      </c>
      <c r="I189" s="8" t="s">
        <v>884</v>
      </c>
      <c r="J189" s="4">
        <v>1</v>
      </c>
      <c r="K189" s="9">
        <v>54.5</v>
      </c>
      <c r="L189" s="9">
        <v>54.5</v>
      </c>
      <c r="M189" s="4" t="s">
        <v>2064</v>
      </c>
      <c r="N189" s="4" t="s">
        <v>2505</v>
      </c>
      <c r="O189" s="4">
        <v>6</v>
      </c>
      <c r="P189" s="4" t="s">
        <v>2714</v>
      </c>
      <c r="Q189" s="4" t="s">
        <v>2715</v>
      </c>
      <c r="R189" s="4"/>
      <c r="S189" s="4"/>
      <c r="T189" s="4" t="str">
        <f>HYPERLINK("http://slimages.macys.com/is/image/MCY/20114282 ")</f>
        <v xml:space="preserve">http://slimages.macys.com/is/image/MCY/20114282 </v>
      </c>
    </row>
    <row r="190" spans="1:20" ht="15" customHeight="1" x14ac:dyDescent="0.25">
      <c r="A190" s="4" t="s">
        <v>2489</v>
      </c>
      <c r="B190" s="2" t="s">
        <v>2487</v>
      </c>
      <c r="C190" s="2" t="s">
        <v>2488</v>
      </c>
      <c r="D190" s="5" t="s">
        <v>2490</v>
      </c>
      <c r="E190" s="4" t="s">
        <v>2491</v>
      </c>
      <c r="F190" s="6">
        <v>14236763</v>
      </c>
      <c r="G190" s="3">
        <v>14236763</v>
      </c>
      <c r="H190" s="7">
        <v>194753985261</v>
      </c>
      <c r="I190" s="8" t="s">
        <v>2063</v>
      </c>
      <c r="J190" s="4">
        <v>1</v>
      </c>
      <c r="K190" s="9">
        <v>54.5</v>
      </c>
      <c r="L190" s="9">
        <v>54.5</v>
      </c>
      <c r="M190" s="4" t="s">
        <v>2064</v>
      </c>
      <c r="N190" s="4" t="s">
        <v>2505</v>
      </c>
      <c r="O190" s="4" t="s">
        <v>2705</v>
      </c>
      <c r="P190" s="4" t="s">
        <v>2714</v>
      </c>
      <c r="Q190" s="4" t="s">
        <v>2715</v>
      </c>
      <c r="R190" s="4"/>
      <c r="S190" s="4"/>
      <c r="T190" s="4" t="str">
        <f>HYPERLINK("http://slimages.macys.com/is/image/MCY/20114280 ")</f>
        <v xml:space="preserve">http://slimages.macys.com/is/image/MCY/20114280 </v>
      </c>
    </row>
    <row r="191" spans="1:20" ht="15" customHeight="1" x14ac:dyDescent="0.25">
      <c r="A191" s="4" t="s">
        <v>2489</v>
      </c>
      <c r="B191" s="2" t="s">
        <v>2487</v>
      </c>
      <c r="C191" s="2" t="s">
        <v>2488</v>
      </c>
      <c r="D191" s="5" t="s">
        <v>2490</v>
      </c>
      <c r="E191" s="4" t="s">
        <v>2491</v>
      </c>
      <c r="F191" s="6">
        <v>14236763</v>
      </c>
      <c r="G191" s="3">
        <v>14236763</v>
      </c>
      <c r="H191" s="7">
        <v>733004765056</v>
      </c>
      <c r="I191" s="8" t="s">
        <v>1526</v>
      </c>
      <c r="J191" s="4">
        <v>1</v>
      </c>
      <c r="K191" s="9">
        <v>39.99</v>
      </c>
      <c r="L191" s="9">
        <v>39.99</v>
      </c>
      <c r="M191" s="4" t="s">
        <v>1527</v>
      </c>
      <c r="N191" s="4" t="s">
        <v>2561</v>
      </c>
      <c r="O191" s="4" t="s">
        <v>2555</v>
      </c>
      <c r="P191" s="4" t="s">
        <v>2515</v>
      </c>
      <c r="Q191" s="4" t="s">
        <v>2672</v>
      </c>
      <c r="R191" s="4"/>
      <c r="S191" s="4"/>
      <c r="T191" s="4" t="str">
        <f>HYPERLINK("http://slimages.macys.com/is/image/MCY/20530539 ")</f>
        <v xml:space="preserve">http://slimages.macys.com/is/image/MCY/20530539 </v>
      </c>
    </row>
    <row r="192" spans="1:20" ht="15" customHeight="1" x14ac:dyDescent="0.25">
      <c r="A192" s="4" t="s">
        <v>2489</v>
      </c>
      <c r="B192" s="2" t="s">
        <v>2487</v>
      </c>
      <c r="C192" s="2" t="s">
        <v>2488</v>
      </c>
      <c r="D192" s="5" t="s">
        <v>2490</v>
      </c>
      <c r="E192" s="4" t="s">
        <v>2491</v>
      </c>
      <c r="F192" s="6">
        <v>14236763</v>
      </c>
      <c r="G192" s="3">
        <v>14236763</v>
      </c>
      <c r="H192" s="7">
        <v>194257518750</v>
      </c>
      <c r="I192" s="8" t="s">
        <v>3380</v>
      </c>
      <c r="J192" s="4">
        <v>1</v>
      </c>
      <c r="K192" s="9">
        <v>8.25</v>
      </c>
      <c r="L192" s="9">
        <v>8.25</v>
      </c>
      <c r="M192" s="4" t="s">
        <v>3274</v>
      </c>
      <c r="N192" s="4" t="s">
        <v>2514</v>
      </c>
      <c r="O192" s="4">
        <v>5</v>
      </c>
      <c r="P192" s="4" t="s">
        <v>2619</v>
      </c>
      <c r="Q192" s="4" t="s">
        <v>2654</v>
      </c>
      <c r="R192" s="4"/>
      <c r="S192" s="4"/>
      <c r="T192" s="4" t="str">
        <f>HYPERLINK("http://slimages.macys.com/is/image/MCY/20099679 ")</f>
        <v xml:space="preserve">http://slimages.macys.com/is/image/MCY/20099679 </v>
      </c>
    </row>
    <row r="193" spans="1:20" ht="15" customHeight="1" x14ac:dyDescent="0.25">
      <c r="A193" s="4" t="s">
        <v>2489</v>
      </c>
      <c r="B193" s="2" t="s">
        <v>2487</v>
      </c>
      <c r="C193" s="2" t="s">
        <v>2488</v>
      </c>
      <c r="D193" s="5" t="s">
        <v>2490</v>
      </c>
      <c r="E193" s="4" t="s">
        <v>2491</v>
      </c>
      <c r="F193" s="6">
        <v>14236763</v>
      </c>
      <c r="G193" s="3">
        <v>14236763</v>
      </c>
      <c r="H193" s="7">
        <v>733004779411</v>
      </c>
      <c r="I193" s="8" t="s">
        <v>2291</v>
      </c>
      <c r="J193" s="4">
        <v>1</v>
      </c>
      <c r="K193" s="9">
        <v>7.99</v>
      </c>
      <c r="L193" s="9">
        <v>7.99</v>
      </c>
      <c r="M193" s="4" t="s">
        <v>2292</v>
      </c>
      <c r="N193" s="4" t="s">
        <v>2501</v>
      </c>
      <c r="O193" s="4" t="s">
        <v>2628</v>
      </c>
      <c r="P193" s="4" t="s">
        <v>2602</v>
      </c>
      <c r="Q193" s="4" t="s">
        <v>2528</v>
      </c>
      <c r="R193" s="4"/>
      <c r="S193" s="4"/>
      <c r="T193" s="4" t="str">
        <f>HYPERLINK("http://slimages.macys.com/is/image/MCY/20450158 ")</f>
        <v xml:space="preserve">http://slimages.macys.com/is/image/MCY/20450158 </v>
      </c>
    </row>
    <row r="194" spans="1:20" ht="15" customHeight="1" x14ac:dyDescent="0.25">
      <c r="A194" s="4" t="s">
        <v>2489</v>
      </c>
      <c r="B194" s="2" t="s">
        <v>2487</v>
      </c>
      <c r="C194" s="2" t="s">
        <v>2488</v>
      </c>
      <c r="D194" s="5" t="s">
        <v>2490</v>
      </c>
      <c r="E194" s="4" t="s">
        <v>2491</v>
      </c>
      <c r="F194" s="6">
        <v>14236763</v>
      </c>
      <c r="G194" s="3">
        <v>14236763</v>
      </c>
      <c r="H194" s="7">
        <v>733004088575</v>
      </c>
      <c r="I194" s="8" t="s">
        <v>2801</v>
      </c>
      <c r="J194" s="4">
        <v>1</v>
      </c>
      <c r="K194" s="9">
        <v>7.99</v>
      </c>
      <c r="L194" s="9">
        <v>7.99</v>
      </c>
      <c r="M194" s="4" t="s">
        <v>2802</v>
      </c>
      <c r="N194" s="4" t="s">
        <v>2561</v>
      </c>
      <c r="O194" s="4" t="s">
        <v>2629</v>
      </c>
      <c r="P194" s="4" t="s">
        <v>2602</v>
      </c>
      <c r="Q194" s="4" t="s">
        <v>2528</v>
      </c>
      <c r="R194" s="4"/>
      <c r="S194" s="4"/>
      <c r="T194" s="4" t="str">
        <f>HYPERLINK("http://slimages.macys.com/is/image/MCY/19988226 ")</f>
        <v xml:space="preserve">http://slimages.macys.com/is/image/MCY/19988226 </v>
      </c>
    </row>
    <row r="195" spans="1:20" ht="15" customHeight="1" x14ac:dyDescent="0.25">
      <c r="A195" s="4" t="s">
        <v>2489</v>
      </c>
      <c r="B195" s="2" t="s">
        <v>2487</v>
      </c>
      <c r="C195" s="2" t="s">
        <v>2488</v>
      </c>
      <c r="D195" s="5" t="s">
        <v>2490</v>
      </c>
      <c r="E195" s="4" t="s">
        <v>2491</v>
      </c>
      <c r="F195" s="6">
        <v>14236763</v>
      </c>
      <c r="G195" s="3">
        <v>14236763</v>
      </c>
      <c r="H195" s="7">
        <v>733003921262</v>
      </c>
      <c r="I195" s="8" t="s">
        <v>885</v>
      </c>
      <c r="J195" s="4">
        <v>1</v>
      </c>
      <c r="K195" s="9">
        <v>7.99</v>
      </c>
      <c r="L195" s="9">
        <v>7.99</v>
      </c>
      <c r="M195" s="4" t="s">
        <v>886</v>
      </c>
      <c r="N195" s="4" t="s">
        <v>2642</v>
      </c>
      <c r="O195" s="4" t="s">
        <v>2650</v>
      </c>
      <c r="P195" s="4" t="s">
        <v>2503</v>
      </c>
      <c r="Q195" s="4" t="s">
        <v>2504</v>
      </c>
      <c r="R195" s="4"/>
      <c r="S195" s="4"/>
      <c r="T195" s="4" t="str">
        <f>HYPERLINK("http://slimages.macys.com/is/image/MCY/19510950 ")</f>
        <v xml:space="preserve">http://slimages.macys.com/is/image/MCY/19510950 </v>
      </c>
    </row>
    <row r="196" spans="1:20" ht="15" customHeight="1" x14ac:dyDescent="0.25">
      <c r="A196" s="4" t="s">
        <v>2489</v>
      </c>
      <c r="B196" s="2" t="s">
        <v>2487</v>
      </c>
      <c r="C196" s="2" t="s">
        <v>2488</v>
      </c>
      <c r="D196" s="5" t="s">
        <v>2490</v>
      </c>
      <c r="E196" s="4" t="s">
        <v>2491</v>
      </c>
      <c r="F196" s="6">
        <v>14236763</v>
      </c>
      <c r="G196" s="3">
        <v>14236763</v>
      </c>
      <c r="H196" s="7">
        <v>733004399343</v>
      </c>
      <c r="I196" s="8" t="s">
        <v>887</v>
      </c>
      <c r="J196" s="4">
        <v>1</v>
      </c>
      <c r="K196" s="9">
        <v>21.99</v>
      </c>
      <c r="L196" s="9">
        <v>21.99</v>
      </c>
      <c r="M196" s="4" t="s">
        <v>1910</v>
      </c>
      <c r="N196" s="4" t="s">
        <v>2561</v>
      </c>
      <c r="O196" s="4">
        <v>6</v>
      </c>
      <c r="P196" s="4" t="s">
        <v>2515</v>
      </c>
      <c r="Q196" s="4" t="s">
        <v>2672</v>
      </c>
      <c r="R196" s="4"/>
      <c r="S196" s="4"/>
      <c r="T196" s="4" t="str">
        <f>HYPERLINK("http://slimages.macys.com/is/image/MCY/20143304 ")</f>
        <v xml:space="preserve">http://slimages.macys.com/is/image/MCY/20143304 </v>
      </c>
    </row>
    <row r="197" spans="1:20" ht="15" customHeight="1" x14ac:dyDescent="0.25">
      <c r="A197" s="4" t="s">
        <v>2489</v>
      </c>
      <c r="B197" s="2" t="s">
        <v>2487</v>
      </c>
      <c r="C197" s="2" t="s">
        <v>2488</v>
      </c>
      <c r="D197" s="5" t="s">
        <v>2490</v>
      </c>
      <c r="E197" s="4" t="s">
        <v>2491</v>
      </c>
      <c r="F197" s="6">
        <v>14236763</v>
      </c>
      <c r="G197" s="3">
        <v>14236763</v>
      </c>
      <c r="H197" s="7">
        <v>762120084673</v>
      </c>
      <c r="I197" s="8" t="s">
        <v>3182</v>
      </c>
      <c r="J197" s="4">
        <v>1</v>
      </c>
      <c r="K197" s="9">
        <v>7.99</v>
      </c>
      <c r="L197" s="9">
        <v>7.99</v>
      </c>
      <c r="M197" s="4" t="s">
        <v>3183</v>
      </c>
      <c r="N197" s="4" t="s">
        <v>2565</v>
      </c>
      <c r="O197" s="4" t="s">
        <v>2650</v>
      </c>
      <c r="P197" s="4" t="s">
        <v>2602</v>
      </c>
      <c r="Q197" s="4" t="s">
        <v>2528</v>
      </c>
      <c r="R197" s="4"/>
      <c r="S197" s="4"/>
      <c r="T197" s="4" t="str">
        <f>HYPERLINK("http://slimages.macys.com/is/image/MCY/1088549 ")</f>
        <v xml:space="preserve">http://slimages.macys.com/is/image/MCY/1088549 </v>
      </c>
    </row>
    <row r="198" spans="1:20" ht="15" customHeight="1" x14ac:dyDescent="0.25">
      <c r="A198" s="4" t="s">
        <v>2489</v>
      </c>
      <c r="B198" s="2" t="s">
        <v>2487</v>
      </c>
      <c r="C198" s="2" t="s">
        <v>2488</v>
      </c>
      <c r="D198" s="5" t="s">
        <v>2490</v>
      </c>
      <c r="E198" s="4" t="s">
        <v>2491</v>
      </c>
      <c r="F198" s="6">
        <v>14236763</v>
      </c>
      <c r="G198" s="3">
        <v>14236763</v>
      </c>
      <c r="H198" s="7">
        <v>733004031656</v>
      </c>
      <c r="I198" s="8" t="s">
        <v>1259</v>
      </c>
      <c r="J198" s="4">
        <v>1</v>
      </c>
      <c r="K198" s="9">
        <v>19.989999999999998</v>
      </c>
      <c r="L198" s="9">
        <v>19.989999999999998</v>
      </c>
      <c r="M198" s="4" t="s">
        <v>1260</v>
      </c>
      <c r="N198" s="4" t="s">
        <v>2523</v>
      </c>
      <c r="O198" s="4" t="s">
        <v>2629</v>
      </c>
      <c r="P198" s="4" t="s">
        <v>2602</v>
      </c>
      <c r="Q198" s="4" t="s">
        <v>2528</v>
      </c>
      <c r="R198" s="4"/>
      <c r="S198" s="4"/>
      <c r="T198" s="4" t="str">
        <f>HYPERLINK("http://slimages.macys.com/is/image/MCY/19943794 ")</f>
        <v xml:space="preserve">http://slimages.macys.com/is/image/MCY/19943794 </v>
      </c>
    </row>
    <row r="199" spans="1:20" ht="15" customHeight="1" x14ac:dyDescent="0.25">
      <c r="A199" s="4" t="s">
        <v>2489</v>
      </c>
      <c r="B199" s="2" t="s">
        <v>2487</v>
      </c>
      <c r="C199" s="2" t="s">
        <v>2488</v>
      </c>
      <c r="D199" s="5" t="s">
        <v>2490</v>
      </c>
      <c r="E199" s="4" t="s">
        <v>2491</v>
      </c>
      <c r="F199" s="6">
        <v>14236763</v>
      </c>
      <c r="G199" s="3">
        <v>14236763</v>
      </c>
      <c r="H199" s="7">
        <v>733004744945</v>
      </c>
      <c r="I199" s="8" t="s">
        <v>888</v>
      </c>
      <c r="J199" s="4">
        <v>1</v>
      </c>
      <c r="K199" s="9">
        <v>7.99</v>
      </c>
      <c r="L199" s="9">
        <v>7.99</v>
      </c>
      <c r="M199" s="4" t="s">
        <v>889</v>
      </c>
      <c r="N199" s="4" t="s">
        <v>2505</v>
      </c>
      <c r="O199" s="4" t="s">
        <v>2650</v>
      </c>
      <c r="P199" s="4" t="s">
        <v>2503</v>
      </c>
      <c r="Q199" s="4" t="s">
        <v>2504</v>
      </c>
      <c r="R199" s="4"/>
      <c r="S199" s="4"/>
      <c r="T199" s="4" t="str">
        <f>HYPERLINK("http://slimages.macys.com/is/image/MCY/1088567 ")</f>
        <v xml:space="preserve">http://slimages.macys.com/is/image/MCY/1088567 </v>
      </c>
    </row>
    <row r="200" spans="1:20" ht="15" customHeight="1" x14ac:dyDescent="0.25">
      <c r="A200" s="4" t="s">
        <v>2489</v>
      </c>
      <c r="B200" s="2" t="s">
        <v>2487</v>
      </c>
      <c r="C200" s="2" t="s">
        <v>2488</v>
      </c>
      <c r="D200" s="5" t="s">
        <v>2490</v>
      </c>
      <c r="E200" s="4" t="s">
        <v>2491</v>
      </c>
      <c r="F200" s="6">
        <v>14236763</v>
      </c>
      <c r="G200" s="3">
        <v>14236763</v>
      </c>
      <c r="H200" s="7">
        <v>733004086014</v>
      </c>
      <c r="I200" s="8" t="s">
        <v>2069</v>
      </c>
      <c r="J200" s="4">
        <v>3</v>
      </c>
      <c r="K200" s="9">
        <v>21.99</v>
      </c>
      <c r="L200" s="9">
        <v>65.97</v>
      </c>
      <c r="M200" s="4" t="s">
        <v>2004</v>
      </c>
      <c r="N200" s="4"/>
      <c r="O200" s="4" t="s">
        <v>2498</v>
      </c>
      <c r="P200" s="4" t="s">
        <v>2543</v>
      </c>
      <c r="Q200" s="4" t="s">
        <v>2528</v>
      </c>
      <c r="R200" s="4"/>
      <c r="S200" s="4"/>
      <c r="T200" s="4" t="str">
        <f>HYPERLINK("http://slimages.macys.com/is/image/MCY/19988445 ")</f>
        <v xml:space="preserve">http://slimages.macys.com/is/image/MCY/19988445 </v>
      </c>
    </row>
    <row r="201" spans="1:20" ht="15" customHeight="1" x14ac:dyDescent="0.25">
      <c r="A201" s="4" t="s">
        <v>2489</v>
      </c>
      <c r="B201" s="2" t="s">
        <v>2487</v>
      </c>
      <c r="C201" s="2" t="s">
        <v>2488</v>
      </c>
      <c r="D201" s="5" t="s">
        <v>2490</v>
      </c>
      <c r="E201" s="4" t="s">
        <v>2491</v>
      </c>
      <c r="F201" s="6">
        <v>14236763</v>
      </c>
      <c r="G201" s="3">
        <v>14236763</v>
      </c>
      <c r="H201" s="7">
        <v>733003173883</v>
      </c>
      <c r="I201" s="8" t="s">
        <v>890</v>
      </c>
      <c r="J201" s="4">
        <v>1</v>
      </c>
      <c r="K201" s="9">
        <v>21.99</v>
      </c>
      <c r="L201" s="9">
        <v>21.99</v>
      </c>
      <c r="M201" s="4" t="s">
        <v>891</v>
      </c>
      <c r="N201" s="4" t="s">
        <v>2530</v>
      </c>
      <c r="O201" s="4" t="s">
        <v>2519</v>
      </c>
      <c r="P201" s="4" t="s">
        <v>2515</v>
      </c>
      <c r="Q201" s="4" t="s">
        <v>2672</v>
      </c>
      <c r="R201" s="4"/>
      <c r="S201" s="4"/>
      <c r="T201" s="4" t="str">
        <f>HYPERLINK("http://slimages.macys.com/is/image/MCY/19505454 ")</f>
        <v xml:space="preserve">http://slimages.macys.com/is/image/MCY/19505454 </v>
      </c>
    </row>
    <row r="202" spans="1:20" ht="15" customHeight="1" x14ac:dyDescent="0.25">
      <c r="A202" s="4" t="s">
        <v>2489</v>
      </c>
      <c r="B202" s="2" t="s">
        <v>2487</v>
      </c>
      <c r="C202" s="2" t="s">
        <v>2488</v>
      </c>
      <c r="D202" s="5" t="s">
        <v>2490</v>
      </c>
      <c r="E202" s="4" t="s">
        <v>2491</v>
      </c>
      <c r="F202" s="6">
        <v>14236763</v>
      </c>
      <c r="G202" s="3">
        <v>14236763</v>
      </c>
      <c r="H202" s="7">
        <v>195251597390</v>
      </c>
      <c r="I202" s="8" t="s">
        <v>892</v>
      </c>
      <c r="J202" s="4">
        <v>1</v>
      </c>
      <c r="K202" s="9">
        <v>35</v>
      </c>
      <c r="L202" s="9">
        <v>35</v>
      </c>
      <c r="M202" s="4">
        <v>1366119</v>
      </c>
      <c r="N202" s="4" t="s">
        <v>2497</v>
      </c>
      <c r="O202" s="4" t="s">
        <v>2498</v>
      </c>
      <c r="P202" s="4" t="s">
        <v>2619</v>
      </c>
      <c r="Q202" s="4" t="s">
        <v>2958</v>
      </c>
      <c r="R202" s="4"/>
      <c r="S202" s="4"/>
      <c r="T202" s="4" t="str">
        <f>HYPERLINK("http://slimages.macys.com/is/image/MCY/19488936 ")</f>
        <v xml:space="preserve">http://slimages.macys.com/is/image/MCY/19488936 </v>
      </c>
    </row>
    <row r="203" spans="1:20" ht="15" customHeight="1" x14ac:dyDescent="0.25">
      <c r="A203" s="4" t="s">
        <v>2489</v>
      </c>
      <c r="B203" s="2" t="s">
        <v>2487</v>
      </c>
      <c r="C203" s="2" t="s">
        <v>2488</v>
      </c>
      <c r="D203" s="5" t="s">
        <v>2490</v>
      </c>
      <c r="E203" s="4" t="s">
        <v>2491</v>
      </c>
      <c r="F203" s="6">
        <v>14236763</v>
      </c>
      <c r="G203" s="3">
        <v>14236763</v>
      </c>
      <c r="H203" s="7">
        <v>733004085918</v>
      </c>
      <c r="I203" s="8" t="s">
        <v>893</v>
      </c>
      <c r="J203" s="4">
        <v>1</v>
      </c>
      <c r="K203" s="9">
        <v>21.99</v>
      </c>
      <c r="L203" s="9">
        <v>21.99</v>
      </c>
      <c r="M203" s="4" t="s">
        <v>1573</v>
      </c>
      <c r="N203" s="4" t="s">
        <v>2567</v>
      </c>
      <c r="O203" s="4" t="s">
        <v>2519</v>
      </c>
      <c r="P203" s="4" t="s">
        <v>2543</v>
      </c>
      <c r="Q203" s="4" t="s">
        <v>2528</v>
      </c>
      <c r="R203" s="4"/>
      <c r="S203" s="4"/>
      <c r="T203" s="4" t="str">
        <f>HYPERLINK("http://slimages.macys.com/is/image/MCY/19988444 ")</f>
        <v xml:space="preserve">http://slimages.macys.com/is/image/MCY/19988444 </v>
      </c>
    </row>
    <row r="204" spans="1:20" ht="15" customHeight="1" x14ac:dyDescent="0.25">
      <c r="A204" s="4" t="s">
        <v>2489</v>
      </c>
      <c r="B204" s="2" t="s">
        <v>2487</v>
      </c>
      <c r="C204" s="2" t="s">
        <v>2488</v>
      </c>
      <c r="D204" s="5" t="s">
        <v>2490</v>
      </c>
      <c r="E204" s="4" t="s">
        <v>2491</v>
      </c>
      <c r="F204" s="6">
        <v>14236763</v>
      </c>
      <c r="G204" s="3">
        <v>14236763</v>
      </c>
      <c r="H204" s="7">
        <v>193666924350</v>
      </c>
      <c r="I204" s="8" t="s">
        <v>894</v>
      </c>
      <c r="J204" s="4">
        <v>1</v>
      </c>
      <c r="K204" s="9">
        <v>11.99</v>
      </c>
      <c r="L204" s="9">
        <v>11.99</v>
      </c>
      <c r="M204" s="4">
        <v>4217</v>
      </c>
      <c r="N204" s="4" t="s">
        <v>2804</v>
      </c>
      <c r="O204" s="4" t="s">
        <v>2555</v>
      </c>
      <c r="P204" s="4" t="s">
        <v>2666</v>
      </c>
      <c r="Q204" s="4" t="s">
        <v>2667</v>
      </c>
      <c r="R204" s="4" t="s">
        <v>2552</v>
      </c>
      <c r="S204" s="4" t="s">
        <v>3157</v>
      </c>
      <c r="T204" s="4" t="str">
        <f>HYPERLINK("http://slimages.macys.com/is/image/MCY/13050192 ")</f>
        <v xml:space="preserve">http://slimages.macys.com/is/image/MCY/13050192 </v>
      </c>
    </row>
    <row r="205" spans="1:20" ht="15" customHeight="1" x14ac:dyDescent="0.25">
      <c r="A205" s="4" t="s">
        <v>2489</v>
      </c>
      <c r="B205" s="2" t="s">
        <v>2487</v>
      </c>
      <c r="C205" s="2" t="s">
        <v>2488</v>
      </c>
      <c r="D205" s="5" t="s">
        <v>2490</v>
      </c>
      <c r="E205" s="4" t="s">
        <v>2491</v>
      </c>
      <c r="F205" s="6">
        <v>14236763</v>
      </c>
      <c r="G205" s="3">
        <v>14236763</v>
      </c>
      <c r="H205" s="7">
        <v>733003643591</v>
      </c>
      <c r="I205" s="8" t="s">
        <v>3239</v>
      </c>
      <c r="J205" s="4">
        <v>2</v>
      </c>
      <c r="K205" s="9">
        <v>18.989999999999998</v>
      </c>
      <c r="L205" s="9">
        <v>37.979999999999997</v>
      </c>
      <c r="M205" s="4" t="s">
        <v>2984</v>
      </c>
      <c r="N205" s="4" t="s">
        <v>2567</v>
      </c>
      <c r="O205" s="4">
        <v>6</v>
      </c>
      <c r="P205" s="4" t="s">
        <v>2515</v>
      </c>
      <c r="Q205" s="4" t="s">
        <v>2972</v>
      </c>
      <c r="R205" s="4"/>
      <c r="S205" s="4"/>
      <c r="T205" s="4" t="str">
        <f>HYPERLINK("http://slimages.macys.com/is/image/MCY/20008203 ")</f>
        <v xml:space="preserve">http://slimages.macys.com/is/image/MCY/20008203 </v>
      </c>
    </row>
    <row r="206" spans="1:20" ht="15" customHeight="1" x14ac:dyDescent="0.25">
      <c r="A206" s="4" t="s">
        <v>2489</v>
      </c>
      <c r="B206" s="2" t="s">
        <v>2487</v>
      </c>
      <c r="C206" s="2" t="s">
        <v>2488</v>
      </c>
      <c r="D206" s="5" t="s">
        <v>2490</v>
      </c>
      <c r="E206" s="4" t="s">
        <v>2491</v>
      </c>
      <c r="F206" s="6">
        <v>14236763</v>
      </c>
      <c r="G206" s="3">
        <v>14236763</v>
      </c>
      <c r="H206" s="7">
        <v>733003644062</v>
      </c>
      <c r="I206" s="8" t="s">
        <v>1948</v>
      </c>
      <c r="J206" s="4">
        <v>2</v>
      </c>
      <c r="K206" s="9">
        <v>15.99</v>
      </c>
      <c r="L206" s="9">
        <v>31.98</v>
      </c>
      <c r="M206" s="4" t="s">
        <v>2971</v>
      </c>
      <c r="N206" s="4" t="s">
        <v>2561</v>
      </c>
      <c r="O206" s="4" t="s">
        <v>2629</v>
      </c>
      <c r="P206" s="4" t="s">
        <v>2515</v>
      </c>
      <c r="Q206" s="4" t="s">
        <v>2972</v>
      </c>
      <c r="R206" s="4"/>
      <c r="S206" s="4"/>
      <c r="T206" s="4" t="str">
        <f>HYPERLINK("http://slimages.macys.com/is/image/MCY/20008082 ")</f>
        <v xml:space="preserve">http://slimages.macys.com/is/image/MCY/20008082 </v>
      </c>
    </row>
    <row r="207" spans="1:20" ht="15" customHeight="1" x14ac:dyDescent="0.25">
      <c r="A207" s="4" t="s">
        <v>2489</v>
      </c>
      <c r="B207" s="2" t="s">
        <v>2487</v>
      </c>
      <c r="C207" s="2" t="s">
        <v>2488</v>
      </c>
      <c r="D207" s="5" t="s">
        <v>2490</v>
      </c>
      <c r="E207" s="4" t="s">
        <v>2491</v>
      </c>
      <c r="F207" s="6">
        <v>14236763</v>
      </c>
      <c r="G207" s="3">
        <v>14236763</v>
      </c>
      <c r="H207" s="7">
        <v>193666743258</v>
      </c>
      <c r="I207" s="8" t="s">
        <v>1269</v>
      </c>
      <c r="J207" s="4">
        <v>1</v>
      </c>
      <c r="K207" s="9">
        <v>11.99</v>
      </c>
      <c r="L207" s="9">
        <v>11.99</v>
      </c>
      <c r="M207" s="4">
        <v>4217</v>
      </c>
      <c r="N207" s="4" t="s">
        <v>2518</v>
      </c>
      <c r="O207" s="4" t="s">
        <v>2555</v>
      </c>
      <c r="P207" s="4" t="s">
        <v>2666</v>
      </c>
      <c r="Q207" s="4" t="s">
        <v>2667</v>
      </c>
      <c r="R207" s="4" t="s">
        <v>2552</v>
      </c>
      <c r="S207" s="4" t="s">
        <v>3157</v>
      </c>
      <c r="T207" s="4" t="str">
        <f>HYPERLINK("http://slimages.macys.com/is/image/MCY/13050192 ")</f>
        <v xml:space="preserve">http://slimages.macys.com/is/image/MCY/13050192 </v>
      </c>
    </row>
    <row r="208" spans="1:20" ht="15" customHeight="1" x14ac:dyDescent="0.25">
      <c r="A208" s="4" t="s">
        <v>2489</v>
      </c>
      <c r="B208" s="2" t="s">
        <v>2487</v>
      </c>
      <c r="C208" s="2" t="s">
        <v>2488</v>
      </c>
      <c r="D208" s="5" t="s">
        <v>2490</v>
      </c>
      <c r="E208" s="4" t="s">
        <v>2491</v>
      </c>
      <c r="F208" s="6">
        <v>14236763</v>
      </c>
      <c r="G208" s="3">
        <v>14236763</v>
      </c>
      <c r="H208" s="7">
        <v>733003643911</v>
      </c>
      <c r="I208" s="8" t="s">
        <v>1875</v>
      </c>
      <c r="J208" s="4">
        <v>1</v>
      </c>
      <c r="K208" s="9">
        <v>15.99</v>
      </c>
      <c r="L208" s="9">
        <v>15.99</v>
      </c>
      <c r="M208" s="4" t="s">
        <v>2971</v>
      </c>
      <c r="N208" s="4" t="s">
        <v>2561</v>
      </c>
      <c r="O208" s="4">
        <v>5</v>
      </c>
      <c r="P208" s="4" t="s">
        <v>2515</v>
      </c>
      <c r="Q208" s="4" t="s">
        <v>2972</v>
      </c>
      <c r="R208" s="4"/>
      <c r="S208" s="4"/>
      <c r="T208" s="4" t="str">
        <f>HYPERLINK("http://slimages.macys.com/is/image/MCY/20008082 ")</f>
        <v xml:space="preserve">http://slimages.macys.com/is/image/MCY/20008082 </v>
      </c>
    </row>
    <row r="209" spans="1:20" ht="15" customHeight="1" x14ac:dyDescent="0.25">
      <c r="A209" s="4" t="s">
        <v>2489</v>
      </c>
      <c r="B209" s="2" t="s">
        <v>2487</v>
      </c>
      <c r="C209" s="2" t="s">
        <v>2488</v>
      </c>
      <c r="D209" s="5" t="s">
        <v>2490</v>
      </c>
      <c r="E209" s="4" t="s">
        <v>2491</v>
      </c>
      <c r="F209" s="6">
        <v>14236763</v>
      </c>
      <c r="G209" s="3">
        <v>14236763</v>
      </c>
      <c r="H209" s="7">
        <v>733003643614</v>
      </c>
      <c r="I209" s="8" t="s">
        <v>1675</v>
      </c>
      <c r="J209" s="4">
        <v>3</v>
      </c>
      <c r="K209" s="9">
        <v>18.989999999999998</v>
      </c>
      <c r="L209" s="9">
        <v>56.97</v>
      </c>
      <c r="M209" s="4" t="s">
        <v>2984</v>
      </c>
      <c r="N209" s="4" t="s">
        <v>2567</v>
      </c>
      <c r="O209" s="4" t="s">
        <v>2629</v>
      </c>
      <c r="P209" s="4" t="s">
        <v>2515</v>
      </c>
      <c r="Q209" s="4" t="s">
        <v>2972</v>
      </c>
      <c r="R209" s="4"/>
      <c r="S209" s="4"/>
      <c r="T209" s="4" t="str">
        <f>HYPERLINK("http://slimages.macys.com/is/image/MCY/20008203 ")</f>
        <v xml:space="preserve">http://slimages.macys.com/is/image/MCY/20008203 </v>
      </c>
    </row>
    <row r="210" spans="1:20" ht="15" customHeight="1" x14ac:dyDescent="0.25">
      <c r="A210" s="4" t="s">
        <v>2489</v>
      </c>
      <c r="B210" s="2" t="s">
        <v>2487</v>
      </c>
      <c r="C210" s="2" t="s">
        <v>2488</v>
      </c>
      <c r="D210" s="5" t="s">
        <v>2490</v>
      </c>
      <c r="E210" s="4" t="s">
        <v>2491</v>
      </c>
      <c r="F210" s="6">
        <v>14236763</v>
      </c>
      <c r="G210" s="3">
        <v>14236763</v>
      </c>
      <c r="H210" s="7">
        <v>46094635339</v>
      </c>
      <c r="I210" s="8" t="s">
        <v>3164</v>
      </c>
      <c r="J210" s="4">
        <v>1</v>
      </c>
      <c r="K210" s="9">
        <v>11.99</v>
      </c>
      <c r="L210" s="9">
        <v>11.99</v>
      </c>
      <c r="M210" s="4" t="s">
        <v>3165</v>
      </c>
      <c r="N210" s="4" t="s">
        <v>2501</v>
      </c>
      <c r="O210" s="4" t="s">
        <v>2519</v>
      </c>
      <c r="P210" s="4" t="s">
        <v>2666</v>
      </c>
      <c r="Q210" s="4" t="s">
        <v>2667</v>
      </c>
      <c r="R210" s="4" t="s">
        <v>2552</v>
      </c>
      <c r="S210" s="4" t="s">
        <v>3157</v>
      </c>
      <c r="T210" s="4" t="str">
        <f>HYPERLINK("http://slimages.macys.com/is/image/MCY/8349880 ")</f>
        <v xml:space="preserve">http://slimages.macys.com/is/image/MCY/8349880 </v>
      </c>
    </row>
    <row r="211" spans="1:20" ht="15" customHeight="1" x14ac:dyDescent="0.25">
      <c r="A211" s="4" t="s">
        <v>2489</v>
      </c>
      <c r="B211" s="2" t="s">
        <v>2487</v>
      </c>
      <c r="C211" s="2" t="s">
        <v>2488</v>
      </c>
      <c r="D211" s="5" t="s">
        <v>2490</v>
      </c>
      <c r="E211" s="4" t="s">
        <v>2491</v>
      </c>
      <c r="F211" s="6">
        <v>14236763</v>
      </c>
      <c r="G211" s="3">
        <v>14236763</v>
      </c>
      <c r="H211" s="7">
        <v>733003643881</v>
      </c>
      <c r="I211" s="8" t="s">
        <v>2013</v>
      </c>
      <c r="J211" s="4">
        <v>1</v>
      </c>
      <c r="K211" s="9">
        <v>15.99</v>
      </c>
      <c r="L211" s="9">
        <v>15.99</v>
      </c>
      <c r="M211" s="4" t="s">
        <v>2971</v>
      </c>
      <c r="N211" s="4" t="s">
        <v>2567</v>
      </c>
      <c r="O211" s="4" t="s">
        <v>2629</v>
      </c>
      <c r="P211" s="4" t="s">
        <v>2515</v>
      </c>
      <c r="Q211" s="4" t="s">
        <v>2972</v>
      </c>
      <c r="R211" s="4"/>
      <c r="S211" s="4"/>
      <c r="T211" s="4" t="str">
        <f>HYPERLINK("http://slimages.macys.com/is/image/MCY/20008082 ")</f>
        <v xml:space="preserve">http://slimages.macys.com/is/image/MCY/20008082 </v>
      </c>
    </row>
    <row r="212" spans="1:20" ht="15" customHeight="1" x14ac:dyDescent="0.25">
      <c r="A212" s="4" t="s">
        <v>2489</v>
      </c>
      <c r="B212" s="2" t="s">
        <v>2487</v>
      </c>
      <c r="C212" s="2" t="s">
        <v>2488</v>
      </c>
      <c r="D212" s="5" t="s">
        <v>2490</v>
      </c>
      <c r="E212" s="4" t="s">
        <v>2491</v>
      </c>
      <c r="F212" s="6">
        <v>14236763</v>
      </c>
      <c r="G212" s="3">
        <v>14236763</v>
      </c>
      <c r="H212" s="7">
        <v>195883345949</v>
      </c>
      <c r="I212" s="8" t="s">
        <v>895</v>
      </c>
      <c r="J212" s="4">
        <v>1</v>
      </c>
      <c r="K212" s="9">
        <v>13.99</v>
      </c>
      <c r="L212" s="9">
        <v>13.99</v>
      </c>
      <c r="M212" s="4" t="s">
        <v>896</v>
      </c>
      <c r="N212" s="4" t="s">
        <v>2501</v>
      </c>
      <c r="O212" s="4" t="s">
        <v>2555</v>
      </c>
      <c r="P212" s="4" t="s">
        <v>2556</v>
      </c>
      <c r="Q212" s="4" t="s">
        <v>2527</v>
      </c>
      <c r="R212" s="4"/>
      <c r="S212" s="4"/>
      <c r="T212" s="4" t="str">
        <f>HYPERLINK("http://slimages.macys.com/is/image/MCY/20200821 ")</f>
        <v xml:space="preserve">http://slimages.macys.com/is/image/MCY/20200821 </v>
      </c>
    </row>
    <row r="213" spans="1:20" ht="15" customHeight="1" x14ac:dyDescent="0.25">
      <c r="A213" s="4" t="s">
        <v>2489</v>
      </c>
      <c r="B213" s="2" t="s">
        <v>2487</v>
      </c>
      <c r="C213" s="2" t="s">
        <v>2488</v>
      </c>
      <c r="D213" s="5" t="s">
        <v>2490</v>
      </c>
      <c r="E213" s="4" t="s">
        <v>2491</v>
      </c>
      <c r="F213" s="6">
        <v>14236763</v>
      </c>
      <c r="G213" s="3">
        <v>14236763</v>
      </c>
      <c r="H213" s="7">
        <v>733004295423</v>
      </c>
      <c r="I213" s="8" t="s">
        <v>1557</v>
      </c>
      <c r="J213" s="4">
        <v>2</v>
      </c>
      <c r="K213" s="9">
        <v>12.99</v>
      </c>
      <c r="L213" s="9">
        <v>25.98</v>
      </c>
      <c r="M213" s="4" t="s">
        <v>1545</v>
      </c>
      <c r="N213" s="4" t="s">
        <v>2501</v>
      </c>
      <c r="O213" s="4" t="s">
        <v>2493</v>
      </c>
      <c r="P213" s="4" t="s">
        <v>2503</v>
      </c>
      <c r="Q213" s="4" t="s">
        <v>2504</v>
      </c>
      <c r="R213" s="4"/>
      <c r="S213" s="4"/>
      <c r="T213" s="4" t="str">
        <f>HYPERLINK("http://slimages.macys.com/is/image/MCY/19754250 ")</f>
        <v xml:space="preserve">http://slimages.macys.com/is/image/MCY/19754250 </v>
      </c>
    </row>
    <row r="214" spans="1:20" ht="15" customHeight="1" x14ac:dyDescent="0.25">
      <c r="A214" s="4" t="s">
        <v>2489</v>
      </c>
      <c r="B214" s="2" t="s">
        <v>2487</v>
      </c>
      <c r="C214" s="2" t="s">
        <v>2488</v>
      </c>
      <c r="D214" s="5" t="s">
        <v>2490</v>
      </c>
      <c r="E214" s="4" t="s">
        <v>2491</v>
      </c>
      <c r="F214" s="6">
        <v>14236763</v>
      </c>
      <c r="G214" s="3">
        <v>14236763</v>
      </c>
      <c r="H214" s="7">
        <v>640013892669</v>
      </c>
      <c r="I214" s="8" t="s">
        <v>897</v>
      </c>
      <c r="J214" s="4">
        <v>1</v>
      </c>
      <c r="K214" s="9">
        <v>11.99</v>
      </c>
      <c r="L214" s="9">
        <v>11.99</v>
      </c>
      <c r="M214" s="4" t="s">
        <v>3413</v>
      </c>
      <c r="N214" s="4" t="s">
        <v>2497</v>
      </c>
      <c r="O214" s="4" t="s">
        <v>2519</v>
      </c>
      <c r="P214" s="4" t="s">
        <v>2556</v>
      </c>
      <c r="Q214" s="4" t="s">
        <v>2557</v>
      </c>
      <c r="R214" s="4"/>
      <c r="S214" s="4"/>
      <c r="T214" s="4" t="str">
        <f>HYPERLINK("http://slimages.macys.com/is/image/MCY/16647601 ")</f>
        <v xml:space="preserve">http://slimages.macys.com/is/image/MCY/16647601 </v>
      </c>
    </row>
    <row r="215" spans="1:20" ht="15" customHeight="1" x14ac:dyDescent="0.25">
      <c r="A215" s="4" t="s">
        <v>2489</v>
      </c>
      <c r="B215" s="2" t="s">
        <v>2487</v>
      </c>
      <c r="C215" s="2" t="s">
        <v>2488</v>
      </c>
      <c r="D215" s="5" t="s">
        <v>2490</v>
      </c>
      <c r="E215" s="4" t="s">
        <v>2491</v>
      </c>
      <c r="F215" s="6">
        <v>14236763</v>
      </c>
      <c r="G215" s="3">
        <v>14236763</v>
      </c>
      <c r="H215" s="7">
        <v>195883642215</v>
      </c>
      <c r="I215" s="8" t="s">
        <v>2807</v>
      </c>
      <c r="J215" s="4">
        <v>1</v>
      </c>
      <c r="K215" s="9">
        <v>7.99</v>
      </c>
      <c r="L215" s="9">
        <v>7.99</v>
      </c>
      <c r="M215" s="4" t="s">
        <v>2808</v>
      </c>
      <c r="N215" s="4" t="s">
        <v>2664</v>
      </c>
      <c r="O215" s="4">
        <v>4</v>
      </c>
      <c r="P215" s="4" t="s">
        <v>2506</v>
      </c>
      <c r="Q215" s="4" t="s">
        <v>2527</v>
      </c>
      <c r="R215" s="4"/>
      <c r="S215" s="4"/>
      <c r="T215" s="4" t="str">
        <f>HYPERLINK("http://slimages.macys.com/is/image/MCY/20726216 ")</f>
        <v xml:space="preserve">http://slimages.macys.com/is/image/MCY/20726216 </v>
      </c>
    </row>
    <row r="216" spans="1:20" ht="15" customHeight="1" x14ac:dyDescent="0.25">
      <c r="A216" s="4" t="s">
        <v>2489</v>
      </c>
      <c r="B216" s="2" t="s">
        <v>2487</v>
      </c>
      <c r="C216" s="2" t="s">
        <v>2488</v>
      </c>
      <c r="D216" s="5" t="s">
        <v>2490</v>
      </c>
      <c r="E216" s="4" t="s">
        <v>2491</v>
      </c>
      <c r="F216" s="6">
        <v>14236763</v>
      </c>
      <c r="G216" s="3">
        <v>14236763</v>
      </c>
      <c r="H216" s="7">
        <v>194257386168</v>
      </c>
      <c r="I216" s="8" t="s">
        <v>898</v>
      </c>
      <c r="J216" s="4">
        <v>1</v>
      </c>
      <c r="K216" s="9">
        <v>15.99</v>
      </c>
      <c r="L216" s="9">
        <v>15.99</v>
      </c>
      <c r="M216" s="4" t="s">
        <v>1409</v>
      </c>
      <c r="N216" s="4" t="s">
        <v>2571</v>
      </c>
      <c r="O216" s="4">
        <v>7</v>
      </c>
      <c r="P216" s="4" t="s">
        <v>2499</v>
      </c>
      <c r="Q216" s="4" t="s">
        <v>2525</v>
      </c>
      <c r="R216" s="4"/>
      <c r="S216" s="4"/>
      <c r="T216" s="4" t="str">
        <f>HYPERLINK("http://slimages.macys.com/is/image/MCY/19944405 ")</f>
        <v xml:space="preserve">http://slimages.macys.com/is/image/MCY/19944405 </v>
      </c>
    </row>
    <row r="217" spans="1:20" ht="15" customHeight="1" x14ac:dyDescent="0.25">
      <c r="A217" s="4" t="s">
        <v>2489</v>
      </c>
      <c r="B217" s="2" t="s">
        <v>2487</v>
      </c>
      <c r="C217" s="2" t="s">
        <v>2488</v>
      </c>
      <c r="D217" s="5" t="s">
        <v>2490</v>
      </c>
      <c r="E217" s="4" t="s">
        <v>2491</v>
      </c>
      <c r="F217" s="6">
        <v>14236763</v>
      </c>
      <c r="G217" s="3">
        <v>14236763</v>
      </c>
      <c r="H217" s="7">
        <v>194870567708</v>
      </c>
      <c r="I217" s="8" t="s">
        <v>2661</v>
      </c>
      <c r="J217" s="4">
        <v>1</v>
      </c>
      <c r="K217" s="9">
        <v>15.99</v>
      </c>
      <c r="L217" s="9">
        <v>15.99</v>
      </c>
      <c r="M217" s="4" t="s">
        <v>2662</v>
      </c>
      <c r="N217" s="4" t="s">
        <v>2497</v>
      </c>
      <c r="O217" s="4">
        <v>4</v>
      </c>
      <c r="P217" s="4" t="s">
        <v>2499</v>
      </c>
      <c r="Q217" s="4" t="s">
        <v>2663</v>
      </c>
      <c r="R217" s="4"/>
      <c r="S217" s="4"/>
      <c r="T217" s="4" t="str">
        <f>HYPERLINK("http://slimages.macys.com/is/image/MCY/21477621 ")</f>
        <v xml:space="preserve">http://slimages.macys.com/is/image/MCY/21477621 </v>
      </c>
    </row>
    <row r="218" spans="1:20" ht="15" customHeight="1" x14ac:dyDescent="0.25">
      <c r="A218" s="4" t="s">
        <v>2489</v>
      </c>
      <c r="B218" s="2" t="s">
        <v>2487</v>
      </c>
      <c r="C218" s="2" t="s">
        <v>2488</v>
      </c>
      <c r="D218" s="5" t="s">
        <v>2490</v>
      </c>
      <c r="E218" s="4" t="s">
        <v>2491</v>
      </c>
      <c r="F218" s="6">
        <v>14236763</v>
      </c>
      <c r="G218" s="3">
        <v>14236763</v>
      </c>
      <c r="H218" s="7">
        <v>733004884016</v>
      </c>
      <c r="I218" s="8" t="s">
        <v>2464</v>
      </c>
      <c r="J218" s="4">
        <v>1</v>
      </c>
      <c r="K218" s="9">
        <v>6.99</v>
      </c>
      <c r="L218" s="9">
        <v>6.99</v>
      </c>
      <c r="M218" s="4" t="s">
        <v>2234</v>
      </c>
      <c r="N218" s="4" t="s">
        <v>3049</v>
      </c>
      <c r="O218" s="4" t="s">
        <v>2601</v>
      </c>
      <c r="P218" s="4" t="s">
        <v>2503</v>
      </c>
      <c r="Q218" s="4" t="s">
        <v>2504</v>
      </c>
      <c r="R218" s="4"/>
      <c r="S218" s="4"/>
      <c r="T218" s="4" t="str">
        <f>HYPERLINK("http://slimages.macys.com/is/image/MCY/1041674 ")</f>
        <v xml:space="preserve">http://slimages.macys.com/is/image/MCY/1041674 </v>
      </c>
    </row>
    <row r="219" spans="1:20" ht="15" customHeight="1" x14ac:dyDescent="0.25">
      <c r="A219" s="4" t="s">
        <v>2489</v>
      </c>
      <c r="B219" s="2" t="s">
        <v>2487</v>
      </c>
      <c r="C219" s="2" t="s">
        <v>2488</v>
      </c>
      <c r="D219" s="5" t="s">
        <v>2490</v>
      </c>
      <c r="E219" s="4" t="s">
        <v>2491</v>
      </c>
      <c r="F219" s="6">
        <v>14236763</v>
      </c>
      <c r="G219" s="3">
        <v>14236763</v>
      </c>
      <c r="H219" s="7">
        <v>733001050681</v>
      </c>
      <c r="I219" s="8" t="s">
        <v>2919</v>
      </c>
      <c r="J219" s="4">
        <v>1</v>
      </c>
      <c r="K219" s="9">
        <v>8.99</v>
      </c>
      <c r="L219" s="9">
        <v>8.99</v>
      </c>
      <c r="M219" s="4" t="s">
        <v>2674</v>
      </c>
      <c r="N219" s="4" t="s">
        <v>2501</v>
      </c>
      <c r="O219" s="4"/>
      <c r="P219" s="4" t="s">
        <v>2503</v>
      </c>
      <c r="Q219" s="4" t="s">
        <v>2504</v>
      </c>
      <c r="R219" s="4"/>
      <c r="S219" s="4"/>
      <c r="T219" s="4" t="str">
        <f>HYPERLINK("http://slimages.macys.com/is/image/MCY/17586312 ")</f>
        <v xml:space="preserve">http://slimages.macys.com/is/image/MCY/17586312 </v>
      </c>
    </row>
    <row r="220" spans="1:20" ht="15" customHeight="1" x14ac:dyDescent="0.25">
      <c r="A220" s="4" t="s">
        <v>2489</v>
      </c>
      <c r="B220" s="2" t="s">
        <v>2487</v>
      </c>
      <c r="C220" s="2" t="s">
        <v>2488</v>
      </c>
      <c r="D220" s="5" t="s">
        <v>2490</v>
      </c>
      <c r="E220" s="4" t="s">
        <v>2491</v>
      </c>
      <c r="F220" s="6">
        <v>14236763</v>
      </c>
      <c r="G220" s="3">
        <v>14236763</v>
      </c>
      <c r="H220" s="7">
        <v>762120123709</v>
      </c>
      <c r="I220" s="8" t="s">
        <v>899</v>
      </c>
      <c r="J220" s="4">
        <v>1</v>
      </c>
      <c r="K220" s="9">
        <v>7.99</v>
      </c>
      <c r="L220" s="9">
        <v>7.99</v>
      </c>
      <c r="M220" s="4" t="s">
        <v>2093</v>
      </c>
      <c r="N220" s="4" t="s">
        <v>2531</v>
      </c>
      <c r="O220" s="4" t="s">
        <v>2628</v>
      </c>
      <c r="P220" s="4" t="s">
        <v>2503</v>
      </c>
      <c r="Q220" s="4" t="s">
        <v>2504</v>
      </c>
      <c r="R220" s="4"/>
      <c r="S220" s="4"/>
      <c r="T220" s="4" t="str">
        <f>HYPERLINK("http://slimages.macys.com/is/image/MCY/20385705 ")</f>
        <v xml:space="preserve">http://slimages.macys.com/is/image/MCY/20385705 </v>
      </c>
    </row>
    <row r="221" spans="1:20" ht="15" customHeight="1" x14ac:dyDescent="0.25">
      <c r="A221" s="4" t="s">
        <v>2489</v>
      </c>
      <c r="B221" s="2" t="s">
        <v>2487</v>
      </c>
      <c r="C221" s="2" t="s">
        <v>2488</v>
      </c>
      <c r="D221" s="5" t="s">
        <v>2490</v>
      </c>
      <c r="E221" s="4" t="s">
        <v>2491</v>
      </c>
      <c r="F221" s="6">
        <v>14236763</v>
      </c>
      <c r="G221" s="3">
        <v>14236763</v>
      </c>
      <c r="H221" s="7">
        <v>733004952456</v>
      </c>
      <c r="I221" s="8" t="s">
        <v>900</v>
      </c>
      <c r="J221" s="4">
        <v>1</v>
      </c>
      <c r="K221" s="9">
        <v>13.99</v>
      </c>
      <c r="L221" s="9">
        <v>13.99</v>
      </c>
      <c r="M221" s="4" t="s">
        <v>3198</v>
      </c>
      <c r="N221" s="4" t="s">
        <v>2561</v>
      </c>
      <c r="O221" s="4" t="s">
        <v>2601</v>
      </c>
      <c r="P221" s="4" t="s">
        <v>2503</v>
      </c>
      <c r="Q221" s="4" t="s">
        <v>2504</v>
      </c>
      <c r="R221" s="4"/>
      <c r="S221" s="4"/>
      <c r="T221" s="4" t="str">
        <f>HYPERLINK("http://slimages.macys.com/is/image/MCY/1070791 ")</f>
        <v xml:space="preserve">http://slimages.macys.com/is/image/MCY/1070791 </v>
      </c>
    </row>
    <row r="222" spans="1:20" ht="15" customHeight="1" x14ac:dyDescent="0.25">
      <c r="A222" s="4" t="s">
        <v>2489</v>
      </c>
      <c r="B222" s="2" t="s">
        <v>2487</v>
      </c>
      <c r="C222" s="2" t="s">
        <v>2488</v>
      </c>
      <c r="D222" s="5" t="s">
        <v>2490</v>
      </c>
      <c r="E222" s="4" t="s">
        <v>2491</v>
      </c>
      <c r="F222" s="6">
        <v>14236763</v>
      </c>
      <c r="G222" s="3">
        <v>14236763</v>
      </c>
      <c r="H222" s="7">
        <v>733002993369</v>
      </c>
      <c r="I222" s="8" t="s">
        <v>901</v>
      </c>
      <c r="J222" s="4">
        <v>1</v>
      </c>
      <c r="K222" s="9">
        <v>12.99</v>
      </c>
      <c r="L222" s="9">
        <v>12.99</v>
      </c>
      <c r="M222" s="4" t="s">
        <v>2089</v>
      </c>
      <c r="N222" s="4" t="s">
        <v>2561</v>
      </c>
      <c r="O222" s="4" t="s">
        <v>2493</v>
      </c>
      <c r="P222" s="4" t="s">
        <v>2503</v>
      </c>
      <c r="Q222" s="4" t="s">
        <v>2504</v>
      </c>
      <c r="R222" s="4"/>
      <c r="S222" s="4"/>
      <c r="T222" s="4" t="str">
        <f>HYPERLINK("http://slimages.macys.com/is/image/MCY/19042342 ")</f>
        <v xml:space="preserve">http://slimages.macys.com/is/image/MCY/19042342 </v>
      </c>
    </row>
    <row r="223" spans="1:20" ht="15" customHeight="1" x14ac:dyDescent="0.25">
      <c r="A223" s="4" t="s">
        <v>2489</v>
      </c>
      <c r="B223" s="2" t="s">
        <v>2487</v>
      </c>
      <c r="C223" s="2" t="s">
        <v>2488</v>
      </c>
      <c r="D223" s="5" t="s">
        <v>2490</v>
      </c>
      <c r="E223" s="4" t="s">
        <v>2491</v>
      </c>
      <c r="F223" s="6">
        <v>14236763</v>
      </c>
      <c r="G223" s="3">
        <v>14236763</v>
      </c>
      <c r="H223" s="7">
        <v>677838853865</v>
      </c>
      <c r="I223" s="8" t="s">
        <v>2889</v>
      </c>
      <c r="J223" s="4">
        <v>1</v>
      </c>
      <c r="K223" s="9">
        <v>26.99</v>
      </c>
      <c r="L223" s="9">
        <v>26.99</v>
      </c>
      <c r="M223" s="4" t="s">
        <v>2890</v>
      </c>
      <c r="N223" s="4" t="s">
        <v>2535</v>
      </c>
      <c r="O223" s="4" t="s">
        <v>2746</v>
      </c>
      <c r="P223" s="4" t="s">
        <v>2562</v>
      </c>
      <c r="Q223" s="4" t="s">
        <v>2733</v>
      </c>
      <c r="R223" s="4"/>
      <c r="S223" s="4"/>
      <c r="T223" s="4" t="str">
        <f>HYPERLINK("http://slimages.macys.com/is/image/MCY/20643223 ")</f>
        <v xml:space="preserve">http://slimages.macys.com/is/image/MCY/20643223 </v>
      </c>
    </row>
    <row r="224" spans="1:20" ht="15" customHeight="1" x14ac:dyDescent="0.25">
      <c r="A224" s="4" t="s">
        <v>2489</v>
      </c>
      <c r="B224" s="2" t="s">
        <v>2487</v>
      </c>
      <c r="C224" s="2" t="s">
        <v>2488</v>
      </c>
      <c r="D224" s="5" t="s">
        <v>2490</v>
      </c>
      <c r="E224" s="4" t="s">
        <v>2491</v>
      </c>
      <c r="F224" s="6">
        <v>14236763</v>
      </c>
      <c r="G224" s="3">
        <v>14236763</v>
      </c>
      <c r="H224" s="7">
        <v>733004952425</v>
      </c>
      <c r="I224" s="8" t="s">
        <v>3206</v>
      </c>
      <c r="J224" s="4">
        <v>1</v>
      </c>
      <c r="K224" s="9">
        <v>13.99</v>
      </c>
      <c r="L224" s="9">
        <v>13.99</v>
      </c>
      <c r="M224" s="4" t="s">
        <v>3207</v>
      </c>
      <c r="N224" s="4" t="s">
        <v>2561</v>
      </c>
      <c r="O224" s="4" t="s">
        <v>2566</v>
      </c>
      <c r="P224" s="4" t="s">
        <v>2503</v>
      </c>
      <c r="Q224" s="4" t="s">
        <v>2504</v>
      </c>
      <c r="R224" s="4"/>
      <c r="S224" s="4"/>
      <c r="T224" s="4" t="str">
        <f>HYPERLINK("http://slimages.macys.com/is/image/MCY/20142576 ")</f>
        <v xml:space="preserve">http://slimages.macys.com/is/image/MCY/20142576 </v>
      </c>
    </row>
    <row r="225" spans="1:20" ht="15" customHeight="1" x14ac:dyDescent="0.25">
      <c r="A225" s="4" t="s">
        <v>2489</v>
      </c>
      <c r="B225" s="2" t="s">
        <v>2487</v>
      </c>
      <c r="C225" s="2" t="s">
        <v>2488</v>
      </c>
      <c r="D225" s="5" t="s">
        <v>2490</v>
      </c>
      <c r="E225" s="4" t="s">
        <v>2491</v>
      </c>
      <c r="F225" s="6">
        <v>14236763</v>
      </c>
      <c r="G225" s="3">
        <v>14236763</v>
      </c>
      <c r="H225" s="7">
        <v>733001129912</v>
      </c>
      <c r="I225" s="8" t="s">
        <v>902</v>
      </c>
      <c r="J225" s="4">
        <v>1</v>
      </c>
      <c r="K225" s="9">
        <v>5.99</v>
      </c>
      <c r="L225" s="9">
        <v>5.99</v>
      </c>
      <c r="M225" s="4" t="s">
        <v>2727</v>
      </c>
      <c r="N225" s="4" t="s">
        <v>2497</v>
      </c>
      <c r="O225" s="4" t="s">
        <v>2587</v>
      </c>
      <c r="P225" s="4" t="s">
        <v>2520</v>
      </c>
      <c r="Q225" s="4" t="s">
        <v>2528</v>
      </c>
      <c r="R225" s="4"/>
      <c r="S225" s="4"/>
      <c r="T225" s="4" t="str">
        <f>HYPERLINK("http://slimages.macys.com/is/image/MCY/17752088 ")</f>
        <v xml:space="preserve">http://slimages.macys.com/is/image/MCY/17752088 </v>
      </c>
    </row>
    <row r="226" spans="1:20" ht="15" customHeight="1" x14ac:dyDescent="0.25">
      <c r="A226" s="4" t="s">
        <v>2489</v>
      </c>
      <c r="B226" s="2" t="s">
        <v>2487</v>
      </c>
      <c r="C226" s="2" t="s">
        <v>2488</v>
      </c>
      <c r="D226" s="5" t="s">
        <v>2490</v>
      </c>
      <c r="E226" s="4" t="s">
        <v>2491</v>
      </c>
      <c r="F226" s="6">
        <v>14236763</v>
      </c>
      <c r="G226" s="3">
        <v>14236763</v>
      </c>
      <c r="H226" s="7">
        <v>733004883736</v>
      </c>
      <c r="I226" s="8" t="s">
        <v>1816</v>
      </c>
      <c r="J226" s="4">
        <v>1</v>
      </c>
      <c r="K226" s="9">
        <v>6.99</v>
      </c>
      <c r="L226" s="9">
        <v>6.99</v>
      </c>
      <c r="M226" s="4" t="s">
        <v>2826</v>
      </c>
      <c r="N226" s="4" t="s">
        <v>2505</v>
      </c>
      <c r="O226" s="4"/>
      <c r="P226" s="4" t="s">
        <v>2503</v>
      </c>
      <c r="Q226" s="4" t="s">
        <v>2504</v>
      </c>
      <c r="R226" s="4"/>
      <c r="S226" s="4"/>
      <c r="T226" s="4" t="str">
        <f>HYPERLINK("http://slimages.macys.com/is/image/MCY/20142535 ")</f>
        <v xml:space="preserve">http://slimages.macys.com/is/image/MCY/20142535 </v>
      </c>
    </row>
    <row r="227" spans="1:20" ht="15" customHeight="1" x14ac:dyDescent="0.25">
      <c r="A227" s="4" t="s">
        <v>2489</v>
      </c>
      <c r="B227" s="2" t="s">
        <v>2487</v>
      </c>
      <c r="C227" s="2" t="s">
        <v>2488</v>
      </c>
      <c r="D227" s="5" t="s">
        <v>2490</v>
      </c>
      <c r="E227" s="4" t="s">
        <v>2491</v>
      </c>
      <c r="F227" s="6">
        <v>14236763</v>
      </c>
      <c r="G227" s="3">
        <v>14236763</v>
      </c>
      <c r="H227" s="7">
        <v>733003928346</v>
      </c>
      <c r="I227" s="8" t="s">
        <v>2819</v>
      </c>
      <c r="J227" s="4">
        <v>1</v>
      </c>
      <c r="K227" s="9">
        <v>7.99</v>
      </c>
      <c r="L227" s="9">
        <v>7.99</v>
      </c>
      <c r="M227" s="4" t="s">
        <v>2820</v>
      </c>
      <c r="N227" s="4" t="s">
        <v>2531</v>
      </c>
      <c r="O227" s="4" t="s">
        <v>2629</v>
      </c>
      <c r="P227" s="4" t="s">
        <v>2503</v>
      </c>
      <c r="Q227" s="4" t="s">
        <v>2504</v>
      </c>
      <c r="R227" s="4"/>
      <c r="S227" s="4"/>
      <c r="T227" s="4" t="str">
        <f>HYPERLINK("http://slimages.macys.com/is/image/MCY/19507885 ")</f>
        <v xml:space="preserve">http://slimages.macys.com/is/image/MCY/19507885 </v>
      </c>
    </row>
    <row r="228" spans="1:20" ht="15" customHeight="1" x14ac:dyDescent="0.25">
      <c r="A228" s="4" t="s">
        <v>2489</v>
      </c>
      <c r="B228" s="2" t="s">
        <v>2487</v>
      </c>
      <c r="C228" s="2" t="s">
        <v>2488</v>
      </c>
      <c r="D228" s="5" t="s">
        <v>2490</v>
      </c>
      <c r="E228" s="4" t="s">
        <v>2491</v>
      </c>
      <c r="F228" s="6">
        <v>14236763</v>
      </c>
      <c r="G228" s="3">
        <v>14236763</v>
      </c>
      <c r="H228" s="7">
        <v>733002283736</v>
      </c>
      <c r="I228" s="8" t="s">
        <v>903</v>
      </c>
      <c r="J228" s="4">
        <v>2</v>
      </c>
      <c r="K228" s="9">
        <v>6.99</v>
      </c>
      <c r="L228" s="9">
        <v>13.98</v>
      </c>
      <c r="M228" s="4" t="s">
        <v>3064</v>
      </c>
      <c r="N228" s="4" t="s">
        <v>2804</v>
      </c>
      <c r="O228" s="4" t="s">
        <v>2555</v>
      </c>
      <c r="P228" s="4" t="s">
        <v>2520</v>
      </c>
      <c r="Q228" s="4" t="s">
        <v>2521</v>
      </c>
      <c r="R228" s="4"/>
      <c r="S228" s="4"/>
      <c r="T228" s="4" t="str">
        <f>HYPERLINK("http://slimages.macys.com/is/image/MCY/19257819 ")</f>
        <v xml:space="preserve">http://slimages.macys.com/is/image/MCY/19257819 </v>
      </c>
    </row>
    <row r="229" spans="1:20" ht="15" customHeight="1" x14ac:dyDescent="0.25">
      <c r="A229" s="4" t="s">
        <v>2489</v>
      </c>
      <c r="B229" s="2" t="s">
        <v>2487</v>
      </c>
      <c r="C229" s="2" t="s">
        <v>2488</v>
      </c>
      <c r="D229" s="5" t="s">
        <v>2490</v>
      </c>
      <c r="E229" s="4" t="s">
        <v>2491</v>
      </c>
      <c r="F229" s="6">
        <v>14236763</v>
      </c>
      <c r="G229" s="3">
        <v>14236763</v>
      </c>
      <c r="H229" s="7">
        <v>766360683023</v>
      </c>
      <c r="I229" s="8" t="s">
        <v>904</v>
      </c>
      <c r="J229" s="4">
        <v>1</v>
      </c>
      <c r="K229" s="9">
        <v>11.99</v>
      </c>
      <c r="L229" s="9">
        <v>11.99</v>
      </c>
      <c r="M229" s="4" t="s">
        <v>3410</v>
      </c>
      <c r="N229" s="4" t="s">
        <v>2523</v>
      </c>
      <c r="O229" s="4" t="s">
        <v>2519</v>
      </c>
      <c r="P229" s="4" t="s">
        <v>2520</v>
      </c>
      <c r="Q229" s="4" t="s">
        <v>2521</v>
      </c>
      <c r="R229" s="4"/>
      <c r="S229" s="4"/>
      <c r="T229" s="4" t="str">
        <f>HYPERLINK("http://slimages.macys.com/is/image/MCY/21047153 ")</f>
        <v xml:space="preserve">http://slimages.macys.com/is/image/MCY/21047153 </v>
      </c>
    </row>
    <row r="230" spans="1:20" ht="15" customHeight="1" x14ac:dyDescent="0.25">
      <c r="A230" s="4" t="s">
        <v>2489</v>
      </c>
      <c r="B230" s="2" t="s">
        <v>2487</v>
      </c>
      <c r="C230" s="2" t="s">
        <v>2488</v>
      </c>
      <c r="D230" s="5" t="s">
        <v>2490</v>
      </c>
      <c r="E230" s="4" t="s">
        <v>2491</v>
      </c>
      <c r="F230" s="6">
        <v>14236763</v>
      </c>
      <c r="G230" s="3">
        <v>14236763</v>
      </c>
      <c r="H230" s="7">
        <v>733004542176</v>
      </c>
      <c r="I230" s="8" t="s">
        <v>905</v>
      </c>
      <c r="J230" s="4">
        <v>1</v>
      </c>
      <c r="K230" s="9">
        <v>21.99</v>
      </c>
      <c r="L230" s="9">
        <v>21.99</v>
      </c>
      <c r="M230" s="4" t="s">
        <v>906</v>
      </c>
      <c r="N230" s="4" t="s">
        <v>2523</v>
      </c>
      <c r="O230" s="4">
        <v>14</v>
      </c>
      <c r="P230" s="4" t="s">
        <v>2543</v>
      </c>
      <c r="Q230" s="4" t="s">
        <v>2528</v>
      </c>
      <c r="R230" s="4"/>
      <c r="S230" s="4"/>
      <c r="T230" s="4" t="str">
        <f>HYPERLINK("http://slimages.macys.com/is/image/MCY/20158250 ")</f>
        <v xml:space="preserve">http://slimages.macys.com/is/image/MCY/20158250 </v>
      </c>
    </row>
    <row r="231" spans="1:20" ht="15" customHeight="1" x14ac:dyDescent="0.25">
      <c r="A231" s="4" t="s">
        <v>2489</v>
      </c>
      <c r="B231" s="2" t="s">
        <v>2487</v>
      </c>
      <c r="C231" s="2" t="s">
        <v>2488</v>
      </c>
      <c r="D231" s="5" t="s">
        <v>2490</v>
      </c>
      <c r="E231" s="4" t="s">
        <v>2491</v>
      </c>
      <c r="F231" s="6">
        <v>14236763</v>
      </c>
      <c r="G231" s="3">
        <v>14236763</v>
      </c>
      <c r="H231" s="7">
        <v>762120086417</v>
      </c>
      <c r="I231" s="8" t="s">
        <v>1456</v>
      </c>
      <c r="J231" s="4">
        <v>1</v>
      </c>
      <c r="K231" s="9">
        <v>7.99</v>
      </c>
      <c r="L231" s="9">
        <v>7.99</v>
      </c>
      <c r="M231" s="4" t="s">
        <v>1776</v>
      </c>
      <c r="N231" s="4" t="s">
        <v>2638</v>
      </c>
      <c r="O231" s="4" t="s">
        <v>2650</v>
      </c>
      <c r="P231" s="4" t="s">
        <v>2602</v>
      </c>
      <c r="Q231" s="4" t="s">
        <v>2528</v>
      </c>
      <c r="R231" s="4"/>
      <c r="S231" s="4"/>
      <c r="T231" s="4" t="str">
        <f>HYPERLINK("http://slimages.macys.com/is/image/MCY/1079693 ")</f>
        <v xml:space="preserve">http://slimages.macys.com/is/image/MCY/1079693 </v>
      </c>
    </row>
    <row r="232" spans="1:20" ht="15" customHeight="1" x14ac:dyDescent="0.25">
      <c r="A232" s="4" t="s">
        <v>2489</v>
      </c>
      <c r="B232" s="2" t="s">
        <v>2487</v>
      </c>
      <c r="C232" s="2" t="s">
        <v>2488</v>
      </c>
      <c r="D232" s="5" t="s">
        <v>2490</v>
      </c>
      <c r="E232" s="4" t="s">
        <v>2491</v>
      </c>
      <c r="F232" s="6">
        <v>14236763</v>
      </c>
      <c r="G232" s="3">
        <v>14236763</v>
      </c>
      <c r="H232" s="7">
        <v>733004780141</v>
      </c>
      <c r="I232" s="8" t="s">
        <v>907</v>
      </c>
      <c r="J232" s="4">
        <v>2</v>
      </c>
      <c r="K232" s="9">
        <v>7.99</v>
      </c>
      <c r="L232" s="9">
        <v>15.98</v>
      </c>
      <c r="M232" s="4" t="s">
        <v>3126</v>
      </c>
      <c r="N232" s="4" t="s">
        <v>2567</v>
      </c>
      <c r="O232" s="4" t="s">
        <v>2629</v>
      </c>
      <c r="P232" s="4" t="s">
        <v>2602</v>
      </c>
      <c r="Q232" s="4" t="s">
        <v>2528</v>
      </c>
      <c r="R232" s="4"/>
      <c r="S232" s="4"/>
      <c r="T232" s="4" t="str">
        <f>HYPERLINK("http://slimages.macys.com/is/image/MCY/20450165 ")</f>
        <v xml:space="preserve">http://slimages.macys.com/is/image/MCY/20450165 </v>
      </c>
    </row>
    <row r="233" spans="1:20" ht="15" customHeight="1" x14ac:dyDescent="0.25">
      <c r="A233" s="4" t="s">
        <v>2489</v>
      </c>
      <c r="B233" s="2" t="s">
        <v>2487</v>
      </c>
      <c r="C233" s="2" t="s">
        <v>2488</v>
      </c>
      <c r="D233" s="5" t="s">
        <v>2490</v>
      </c>
      <c r="E233" s="4" t="s">
        <v>2491</v>
      </c>
      <c r="F233" s="6">
        <v>14236763</v>
      </c>
      <c r="G233" s="3">
        <v>14236763</v>
      </c>
      <c r="H233" s="7">
        <v>762120086110</v>
      </c>
      <c r="I233" s="8" t="s">
        <v>770</v>
      </c>
      <c r="J233" s="4">
        <v>1</v>
      </c>
      <c r="K233" s="9">
        <v>7.99</v>
      </c>
      <c r="L233" s="9">
        <v>7.99</v>
      </c>
      <c r="M233" s="4" t="s">
        <v>771</v>
      </c>
      <c r="N233" s="4" t="s">
        <v>2501</v>
      </c>
      <c r="O233" s="4" t="s">
        <v>2628</v>
      </c>
      <c r="P233" s="4" t="s">
        <v>2602</v>
      </c>
      <c r="Q233" s="4" t="s">
        <v>2528</v>
      </c>
      <c r="R233" s="4"/>
      <c r="S233" s="4"/>
      <c r="T233" s="4" t="str">
        <f>HYPERLINK("http://slimages.macys.com/is/image/MCY/20691833 ")</f>
        <v xml:space="preserve">http://slimages.macys.com/is/image/MCY/20691833 </v>
      </c>
    </row>
    <row r="234" spans="1:20" ht="15" customHeight="1" x14ac:dyDescent="0.25">
      <c r="A234" s="4" t="s">
        <v>2489</v>
      </c>
      <c r="B234" s="2" t="s">
        <v>2487</v>
      </c>
      <c r="C234" s="2" t="s">
        <v>2488</v>
      </c>
      <c r="D234" s="5" t="s">
        <v>2490</v>
      </c>
      <c r="E234" s="4" t="s">
        <v>2491</v>
      </c>
      <c r="F234" s="6">
        <v>14236763</v>
      </c>
      <c r="G234" s="3">
        <v>14236763</v>
      </c>
      <c r="H234" s="7">
        <v>733003921255</v>
      </c>
      <c r="I234" s="8" t="s">
        <v>908</v>
      </c>
      <c r="J234" s="4">
        <v>1</v>
      </c>
      <c r="K234" s="9">
        <v>7.99</v>
      </c>
      <c r="L234" s="9">
        <v>7.99</v>
      </c>
      <c r="M234" s="4" t="s">
        <v>909</v>
      </c>
      <c r="N234" s="4" t="s">
        <v>2561</v>
      </c>
      <c r="O234" s="4" t="s">
        <v>2628</v>
      </c>
      <c r="P234" s="4" t="s">
        <v>2503</v>
      </c>
      <c r="Q234" s="4" t="s">
        <v>2504</v>
      </c>
      <c r="R234" s="4"/>
      <c r="S234" s="4"/>
      <c r="T234" s="4" t="str">
        <f>HYPERLINK("http://slimages.macys.com/is/image/MCY/19521565 ")</f>
        <v xml:space="preserve">http://slimages.macys.com/is/image/MCY/19521565 </v>
      </c>
    </row>
    <row r="235" spans="1:20" ht="15" customHeight="1" x14ac:dyDescent="0.25">
      <c r="A235" s="4" t="s">
        <v>2489</v>
      </c>
      <c r="B235" s="2" t="s">
        <v>2487</v>
      </c>
      <c r="C235" s="2" t="s">
        <v>2488</v>
      </c>
      <c r="D235" s="5" t="s">
        <v>2490</v>
      </c>
      <c r="E235" s="4" t="s">
        <v>2491</v>
      </c>
      <c r="F235" s="6">
        <v>14236763</v>
      </c>
      <c r="G235" s="3">
        <v>14236763</v>
      </c>
      <c r="H235" s="7">
        <v>733004780066</v>
      </c>
      <c r="I235" s="8" t="s">
        <v>2837</v>
      </c>
      <c r="J235" s="4">
        <v>1</v>
      </c>
      <c r="K235" s="9">
        <v>7.99</v>
      </c>
      <c r="L235" s="9">
        <v>7.99</v>
      </c>
      <c r="M235" s="4" t="s">
        <v>2692</v>
      </c>
      <c r="N235" s="4" t="s">
        <v>2501</v>
      </c>
      <c r="O235" s="4">
        <v>6</v>
      </c>
      <c r="P235" s="4" t="s">
        <v>2602</v>
      </c>
      <c r="Q235" s="4" t="s">
        <v>2528</v>
      </c>
      <c r="R235" s="4"/>
      <c r="S235" s="4"/>
      <c r="T235" s="4" t="str">
        <f>HYPERLINK("http://slimages.macys.com/is/image/MCY/20450163 ")</f>
        <v xml:space="preserve">http://slimages.macys.com/is/image/MCY/20450163 </v>
      </c>
    </row>
    <row r="236" spans="1:20" ht="15" customHeight="1" x14ac:dyDescent="0.25">
      <c r="A236" s="4" t="s">
        <v>2489</v>
      </c>
      <c r="B236" s="2" t="s">
        <v>2487</v>
      </c>
      <c r="C236" s="2" t="s">
        <v>2488</v>
      </c>
      <c r="D236" s="5" t="s">
        <v>2490</v>
      </c>
      <c r="E236" s="4" t="s">
        <v>2491</v>
      </c>
      <c r="F236" s="6">
        <v>14236763</v>
      </c>
      <c r="G236" s="3">
        <v>14236763</v>
      </c>
      <c r="H236" s="7">
        <v>733004780042</v>
      </c>
      <c r="I236" s="8" t="s">
        <v>2000</v>
      </c>
      <c r="J236" s="4">
        <v>1</v>
      </c>
      <c r="K236" s="9">
        <v>7.99</v>
      </c>
      <c r="L236" s="9">
        <v>7.99</v>
      </c>
      <c r="M236" s="4" t="s">
        <v>3128</v>
      </c>
      <c r="N236" s="4" t="s">
        <v>2632</v>
      </c>
      <c r="O236" s="4" t="s">
        <v>2653</v>
      </c>
      <c r="P236" s="4" t="s">
        <v>2602</v>
      </c>
      <c r="Q236" s="4" t="s">
        <v>2528</v>
      </c>
      <c r="R236" s="4"/>
      <c r="S236" s="4"/>
      <c r="T236" s="4" t="str">
        <f>HYPERLINK("http://slimages.macys.com/is/image/MCY/20450161 ")</f>
        <v xml:space="preserve">http://slimages.macys.com/is/image/MCY/20450161 </v>
      </c>
    </row>
    <row r="237" spans="1:20" ht="15" customHeight="1" x14ac:dyDescent="0.25">
      <c r="A237" s="4" t="s">
        <v>2489</v>
      </c>
      <c r="B237" s="2" t="s">
        <v>2487</v>
      </c>
      <c r="C237" s="2" t="s">
        <v>2488</v>
      </c>
      <c r="D237" s="5" t="s">
        <v>2490</v>
      </c>
      <c r="E237" s="4" t="s">
        <v>2491</v>
      </c>
      <c r="F237" s="6">
        <v>14236763</v>
      </c>
      <c r="G237" s="3">
        <v>14236763</v>
      </c>
      <c r="H237" s="7">
        <v>840219354767</v>
      </c>
      <c r="I237" s="8" t="s">
        <v>1996</v>
      </c>
      <c r="J237" s="4">
        <v>1</v>
      </c>
      <c r="K237" s="9">
        <v>18.989999999999998</v>
      </c>
      <c r="L237" s="9">
        <v>18.989999999999998</v>
      </c>
      <c r="M237" s="4" t="s">
        <v>1997</v>
      </c>
      <c r="N237" s="4" t="s">
        <v>2611</v>
      </c>
      <c r="O237" s="4">
        <v>6</v>
      </c>
      <c r="P237" s="4" t="s">
        <v>2536</v>
      </c>
      <c r="Q237" s="4" t="s">
        <v>3419</v>
      </c>
      <c r="R237" s="4"/>
      <c r="S237" s="4"/>
      <c r="T237" s="4" t="str">
        <f>HYPERLINK("http://slimages.macys.com/is/image/MCY/20918692 ")</f>
        <v xml:space="preserve">http://slimages.macys.com/is/image/MCY/20918692 </v>
      </c>
    </row>
    <row r="238" spans="1:20" ht="15" customHeight="1" x14ac:dyDescent="0.25">
      <c r="A238" s="4" t="s">
        <v>2489</v>
      </c>
      <c r="B238" s="2" t="s">
        <v>2487</v>
      </c>
      <c r="C238" s="2" t="s">
        <v>2488</v>
      </c>
      <c r="D238" s="5" t="s">
        <v>2490</v>
      </c>
      <c r="E238" s="4" t="s">
        <v>2491</v>
      </c>
      <c r="F238" s="6">
        <v>14236763</v>
      </c>
      <c r="G238" s="3">
        <v>14236763</v>
      </c>
      <c r="H238" s="7">
        <v>195958173675</v>
      </c>
      <c r="I238" s="8" t="s">
        <v>910</v>
      </c>
      <c r="J238" s="4">
        <v>1</v>
      </c>
      <c r="K238" s="9">
        <v>21.99</v>
      </c>
      <c r="L238" s="9">
        <v>21.99</v>
      </c>
      <c r="M238" s="4" t="s">
        <v>911</v>
      </c>
      <c r="N238" s="4" t="s">
        <v>2544</v>
      </c>
      <c r="O238" s="4" t="s">
        <v>2705</v>
      </c>
      <c r="P238" s="4" t="s">
        <v>2536</v>
      </c>
      <c r="Q238" s="4" t="s">
        <v>2844</v>
      </c>
      <c r="R238" s="4"/>
      <c r="S238" s="4"/>
      <c r="T238" s="4" t="str">
        <f>HYPERLINK("http://slimages.macys.com/is/image/MCY/20544721 ")</f>
        <v xml:space="preserve">http://slimages.macys.com/is/image/MCY/20544721 </v>
      </c>
    </row>
    <row r="239" spans="1:20" ht="15" customHeight="1" x14ac:dyDescent="0.25">
      <c r="A239" s="4" t="s">
        <v>2489</v>
      </c>
      <c r="B239" s="2" t="s">
        <v>2487</v>
      </c>
      <c r="C239" s="2" t="s">
        <v>2488</v>
      </c>
      <c r="D239" s="5" t="s">
        <v>2490</v>
      </c>
      <c r="E239" s="4" t="s">
        <v>2491</v>
      </c>
      <c r="F239" s="6">
        <v>14236763</v>
      </c>
      <c r="G239" s="3">
        <v>14236763</v>
      </c>
      <c r="H239" s="7">
        <v>733004752964</v>
      </c>
      <c r="I239" s="8" t="s">
        <v>1594</v>
      </c>
      <c r="J239" s="4">
        <v>1</v>
      </c>
      <c r="K239" s="9">
        <v>14.99</v>
      </c>
      <c r="L239" s="9">
        <v>14.99</v>
      </c>
      <c r="M239" s="4" t="s">
        <v>2123</v>
      </c>
      <c r="N239" s="4" t="s">
        <v>2514</v>
      </c>
      <c r="O239" s="4" t="s">
        <v>2519</v>
      </c>
      <c r="P239" s="4" t="s">
        <v>2543</v>
      </c>
      <c r="Q239" s="4" t="s">
        <v>2528</v>
      </c>
      <c r="R239" s="4"/>
      <c r="S239" s="4"/>
      <c r="T239" s="4" t="str">
        <f>HYPERLINK("http://slimages.macys.com/is/image/MCY/20440836 ")</f>
        <v xml:space="preserve">http://slimages.macys.com/is/image/MCY/20440836 </v>
      </c>
    </row>
    <row r="240" spans="1:20" ht="15" customHeight="1" x14ac:dyDescent="0.25">
      <c r="A240" s="4" t="s">
        <v>2489</v>
      </c>
      <c r="B240" s="2" t="s">
        <v>2487</v>
      </c>
      <c r="C240" s="2" t="s">
        <v>2488</v>
      </c>
      <c r="D240" s="5" t="s">
        <v>2490</v>
      </c>
      <c r="E240" s="4" t="s">
        <v>2491</v>
      </c>
      <c r="F240" s="6">
        <v>14236763</v>
      </c>
      <c r="G240" s="3">
        <v>14236763</v>
      </c>
      <c r="H240" s="7">
        <v>733004089022</v>
      </c>
      <c r="I240" s="8" t="s">
        <v>912</v>
      </c>
      <c r="J240" s="4">
        <v>1</v>
      </c>
      <c r="K240" s="9">
        <v>7.99</v>
      </c>
      <c r="L240" s="9">
        <v>7.99</v>
      </c>
      <c r="M240" s="4" t="s">
        <v>1544</v>
      </c>
      <c r="N240" s="4" t="s">
        <v>2600</v>
      </c>
      <c r="O240" s="4" t="s">
        <v>2650</v>
      </c>
      <c r="P240" s="4" t="s">
        <v>2602</v>
      </c>
      <c r="Q240" s="4" t="s">
        <v>2528</v>
      </c>
      <c r="R240" s="4"/>
      <c r="S240" s="4"/>
      <c r="T240" s="4" t="str">
        <f>HYPERLINK("http://slimages.macys.com/is/image/MCY/19988254 ")</f>
        <v xml:space="preserve">http://slimages.macys.com/is/image/MCY/19988254 </v>
      </c>
    </row>
    <row r="241" spans="1:20" ht="15" customHeight="1" x14ac:dyDescent="0.25">
      <c r="A241" s="4" t="s">
        <v>2489</v>
      </c>
      <c r="B241" s="2" t="s">
        <v>2487</v>
      </c>
      <c r="C241" s="2" t="s">
        <v>2488</v>
      </c>
      <c r="D241" s="5" t="s">
        <v>2490</v>
      </c>
      <c r="E241" s="4" t="s">
        <v>2491</v>
      </c>
      <c r="F241" s="6">
        <v>14236763</v>
      </c>
      <c r="G241" s="3">
        <v>14236763</v>
      </c>
      <c r="H241" s="7">
        <v>733004085994</v>
      </c>
      <c r="I241" s="8" t="s">
        <v>1564</v>
      </c>
      <c r="J241" s="4">
        <v>1</v>
      </c>
      <c r="K241" s="9">
        <v>21.99</v>
      </c>
      <c r="L241" s="9">
        <v>21.99</v>
      </c>
      <c r="M241" s="4" t="s">
        <v>2004</v>
      </c>
      <c r="N241" s="4"/>
      <c r="O241" s="4" t="s">
        <v>2519</v>
      </c>
      <c r="P241" s="4" t="s">
        <v>2543</v>
      </c>
      <c r="Q241" s="4" t="s">
        <v>2528</v>
      </c>
      <c r="R241" s="4"/>
      <c r="S241" s="4"/>
      <c r="T241" s="4" t="str">
        <f>HYPERLINK("http://slimages.macys.com/is/image/MCY/19988445 ")</f>
        <v xml:space="preserve">http://slimages.macys.com/is/image/MCY/19988445 </v>
      </c>
    </row>
    <row r="242" spans="1:20" ht="15" customHeight="1" x14ac:dyDescent="0.25">
      <c r="A242" s="4" t="s">
        <v>2489</v>
      </c>
      <c r="B242" s="2" t="s">
        <v>2487</v>
      </c>
      <c r="C242" s="2" t="s">
        <v>2488</v>
      </c>
      <c r="D242" s="5" t="s">
        <v>2490</v>
      </c>
      <c r="E242" s="4" t="s">
        <v>2491</v>
      </c>
      <c r="F242" s="6">
        <v>14236763</v>
      </c>
      <c r="G242" s="3">
        <v>14236763</v>
      </c>
      <c r="H242" s="7">
        <v>733003644123</v>
      </c>
      <c r="I242" s="8" t="s">
        <v>2009</v>
      </c>
      <c r="J242" s="4">
        <v>3</v>
      </c>
      <c r="K242" s="9">
        <v>15.99</v>
      </c>
      <c r="L242" s="9">
        <v>47.97</v>
      </c>
      <c r="M242" s="4" t="s">
        <v>2998</v>
      </c>
      <c r="N242" s="4" t="s">
        <v>2530</v>
      </c>
      <c r="O242" s="4" t="s">
        <v>2629</v>
      </c>
      <c r="P242" s="4" t="s">
        <v>2515</v>
      </c>
      <c r="Q242" s="4" t="s">
        <v>2972</v>
      </c>
      <c r="R242" s="4"/>
      <c r="S242" s="4"/>
      <c r="T242" s="4" t="str">
        <f>HYPERLINK("http://slimages.macys.com/is/image/MCY/20008061 ")</f>
        <v xml:space="preserve">http://slimages.macys.com/is/image/MCY/20008061 </v>
      </c>
    </row>
    <row r="243" spans="1:20" ht="15" customHeight="1" x14ac:dyDescent="0.25">
      <c r="A243" s="4" t="s">
        <v>2489</v>
      </c>
      <c r="B243" s="2" t="s">
        <v>2487</v>
      </c>
      <c r="C243" s="2" t="s">
        <v>2488</v>
      </c>
      <c r="D243" s="5" t="s">
        <v>2490</v>
      </c>
      <c r="E243" s="4" t="s">
        <v>2491</v>
      </c>
      <c r="F243" s="6">
        <v>14236763</v>
      </c>
      <c r="G243" s="3">
        <v>14236763</v>
      </c>
      <c r="H243" s="7">
        <v>733003644208</v>
      </c>
      <c r="I243" s="8" t="s">
        <v>2136</v>
      </c>
      <c r="J243" s="4">
        <v>1</v>
      </c>
      <c r="K243" s="9">
        <v>15.99</v>
      </c>
      <c r="L243" s="9">
        <v>15.99</v>
      </c>
      <c r="M243" s="4" t="s">
        <v>2998</v>
      </c>
      <c r="N243" s="4" t="s">
        <v>2514</v>
      </c>
      <c r="O243" s="4" t="s">
        <v>2653</v>
      </c>
      <c r="P243" s="4" t="s">
        <v>2515</v>
      </c>
      <c r="Q243" s="4" t="s">
        <v>2972</v>
      </c>
      <c r="R243" s="4"/>
      <c r="S243" s="4"/>
      <c r="T243" s="4" t="str">
        <f>HYPERLINK("http://slimages.macys.com/is/image/MCY/20008061 ")</f>
        <v xml:space="preserve">http://slimages.macys.com/is/image/MCY/20008061 </v>
      </c>
    </row>
    <row r="244" spans="1:20" ht="15" customHeight="1" x14ac:dyDescent="0.25">
      <c r="A244" s="4" t="s">
        <v>2489</v>
      </c>
      <c r="B244" s="2" t="s">
        <v>2487</v>
      </c>
      <c r="C244" s="2" t="s">
        <v>2488</v>
      </c>
      <c r="D244" s="5" t="s">
        <v>2490</v>
      </c>
      <c r="E244" s="4" t="s">
        <v>2491</v>
      </c>
      <c r="F244" s="6">
        <v>14236763</v>
      </c>
      <c r="G244" s="3">
        <v>14236763</v>
      </c>
      <c r="H244" s="7">
        <v>733003644055</v>
      </c>
      <c r="I244" s="8" t="s">
        <v>1884</v>
      </c>
      <c r="J244" s="4">
        <v>1</v>
      </c>
      <c r="K244" s="9">
        <v>15.99</v>
      </c>
      <c r="L244" s="9">
        <v>15.99</v>
      </c>
      <c r="M244" s="4" t="s">
        <v>2971</v>
      </c>
      <c r="N244" s="4" t="s">
        <v>2561</v>
      </c>
      <c r="O244" s="4" t="s">
        <v>2650</v>
      </c>
      <c r="P244" s="4" t="s">
        <v>2515</v>
      </c>
      <c r="Q244" s="4" t="s">
        <v>2972</v>
      </c>
      <c r="R244" s="4"/>
      <c r="S244" s="4"/>
      <c r="T244" s="4" t="str">
        <f>HYPERLINK("http://slimages.macys.com/is/image/MCY/20008082 ")</f>
        <v xml:space="preserve">http://slimages.macys.com/is/image/MCY/20008082 </v>
      </c>
    </row>
    <row r="245" spans="1:20" ht="15" customHeight="1" x14ac:dyDescent="0.25">
      <c r="A245" s="4" t="s">
        <v>2489</v>
      </c>
      <c r="B245" s="2" t="s">
        <v>2487</v>
      </c>
      <c r="C245" s="2" t="s">
        <v>2488</v>
      </c>
      <c r="D245" s="5" t="s">
        <v>2490</v>
      </c>
      <c r="E245" s="4" t="s">
        <v>2491</v>
      </c>
      <c r="F245" s="6">
        <v>14236763</v>
      </c>
      <c r="G245" s="3">
        <v>14236763</v>
      </c>
      <c r="H245" s="7">
        <v>733003644192</v>
      </c>
      <c r="I245" s="8" t="s">
        <v>1888</v>
      </c>
      <c r="J245" s="4">
        <v>4</v>
      </c>
      <c r="K245" s="9">
        <v>15.99</v>
      </c>
      <c r="L245" s="9">
        <v>63.96</v>
      </c>
      <c r="M245" s="4" t="s">
        <v>2998</v>
      </c>
      <c r="N245" s="4" t="s">
        <v>2514</v>
      </c>
      <c r="O245" s="4" t="s">
        <v>2628</v>
      </c>
      <c r="P245" s="4" t="s">
        <v>2515</v>
      </c>
      <c r="Q245" s="4" t="s">
        <v>2972</v>
      </c>
      <c r="R245" s="4"/>
      <c r="S245" s="4"/>
      <c r="T245" s="4" t="str">
        <f>HYPERLINK("http://slimages.macys.com/is/image/MCY/20008061 ")</f>
        <v xml:space="preserve">http://slimages.macys.com/is/image/MCY/20008061 </v>
      </c>
    </row>
    <row r="246" spans="1:20" ht="15" customHeight="1" x14ac:dyDescent="0.25">
      <c r="A246" s="4" t="s">
        <v>2489</v>
      </c>
      <c r="B246" s="2" t="s">
        <v>2487</v>
      </c>
      <c r="C246" s="2" t="s">
        <v>2488</v>
      </c>
      <c r="D246" s="5" t="s">
        <v>2490</v>
      </c>
      <c r="E246" s="4" t="s">
        <v>2491</v>
      </c>
      <c r="F246" s="6">
        <v>14236763</v>
      </c>
      <c r="G246" s="3">
        <v>14236763</v>
      </c>
      <c r="H246" s="7">
        <v>733003643669</v>
      </c>
      <c r="I246" s="8" t="s">
        <v>913</v>
      </c>
      <c r="J246" s="4">
        <v>2</v>
      </c>
      <c r="K246" s="9">
        <v>18.989999999999998</v>
      </c>
      <c r="L246" s="9">
        <v>37.979999999999997</v>
      </c>
      <c r="M246" s="4" t="s">
        <v>2984</v>
      </c>
      <c r="N246" s="4" t="s">
        <v>2561</v>
      </c>
      <c r="O246" s="4" t="s">
        <v>2650</v>
      </c>
      <c r="P246" s="4" t="s">
        <v>2515</v>
      </c>
      <c r="Q246" s="4" t="s">
        <v>2972</v>
      </c>
      <c r="R246" s="4"/>
      <c r="S246" s="4"/>
      <c r="T246" s="4" t="str">
        <f>HYPERLINK("http://slimages.macys.com/is/image/MCY/20008204 ")</f>
        <v xml:space="preserve">http://slimages.macys.com/is/image/MCY/20008204 </v>
      </c>
    </row>
    <row r="247" spans="1:20" ht="15" customHeight="1" x14ac:dyDescent="0.25">
      <c r="A247" s="4" t="s">
        <v>2489</v>
      </c>
      <c r="B247" s="2" t="s">
        <v>2487</v>
      </c>
      <c r="C247" s="2" t="s">
        <v>2488</v>
      </c>
      <c r="D247" s="5" t="s">
        <v>2490</v>
      </c>
      <c r="E247" s="4" t="s">
        <v>2491</v>
      </c>
      <c r="F247" s="6">
        <v>14236763</v>
      </c>
      <c r="G247" s="3">
        <v>14236763</v>
      </c>
      <c r="H247" s="7">
        <v>193666743227</v>
      </c>
      <c r="I247" s="8" t="s">
        <v>914</v>
      </c>
      <c r="J247" s="4">
        <v>1</v>
      </c>
      <c r="K247" s="9">
        <v>11.99</v>
      </c>
      <c r="L247" s="9">
        <v>11.99</v>
      </c>
      <c r="M247" s="4">
        <v>4217</v>
      </c>
      <c r="N247" s="4" t="s">
        <v>2523</v>
      </c>
      <c r="O247" s="4" t="s">
        <v>2555</v>
      </c>
      <c r="P247" s="4" t="s">
        <v>2666</v>
      </c>
      <c r="Q247" s="4" t="s">
        <v>2667</v>
      </c>
      <c r="R247" s="4" t="s">
        <v>2552</v>
      </c>
      <c r="S247" s="4" t="s">
        <v>3157</v>
      </c>
      <c r="T247" s="4" t="str">
        <f>HYPERLINK("http://slimages.macys.com/is/image/MCY/13050192 ")</f>
        <v xml:space="preserve">http://slimages.macys.com/is/image/MCY/13050192 </v>
      </c>
    </row>
    <row r="248" spans="1:20" ht="15" customHeight="1" x14ac:dyDescent="0.25">
      <c r="A248" s="4" t="s">
        <v>2489</v>
      </c>
      <c r="B248" s="2" t="s">
        <v>2487</v>
      </c>
      <c r="C248" s="2" t="s">
        <v>2488</v>
      </c>
      <c r="D248" s="5" t="s">
        <v>2490</v>
      </c>
      <c r="E248" s="4" t="s">
        <v>2491</v>
      </c>
      <c r="F248" s="6">
        <v>14236763</v>
      </c>
      <c r="G248" s="3">
        <v>14236763</v>
      </c>
      <c r="H248" s="7">
        <v>733003643584</v>
      </c>
      <c r="I248" s="8" t="s">
        <v>2983</v>
      </c>
      <c r="J248" s="4">
        <v>4</v>
      </c>
      <c r="K248" s="9">
        <v>18.989999999999998</v>
      </c>
      <c r="L248" s="9">
        <v>75.959999999999994</v>
      </c>
      <c r="M248" s="4" t="s">
        <v>2984</v>
      </c>
      <c r="N248" s="4" t="s">
        <v>2567</v>
      </c>
      <c r="O248" s="4">
        <v>5</v>
      </c>
      <c r="P248" s="4" t="s">
        <v>2515</v>
      </c>
      <c r="Q248" s="4" t="s">
        <v>2972</v>
      </c>
      <c r="R248" s="4"/>
      <c r="S248" s="4"/>
      <c r="T248" s="4" t="str">
        <f>HYPERLINK("http://slimages.macys.com/is/image/MCY/20008203 ")</f>
        <v xml:space="preserve">http://slimages.macys.com/is/image/MCY/20008203 </v>
      </c>
    </row>
    <row r="249" spans="1:20" ht="15" customHeight="1" x14ac:dyDescent="0.25">
      <c r="A249" s="4" t="s">
        <v>2489</v>
      </c>
      <c r="B249" s="2" t="s">
        <v>2487</v>
      </c>
      <c r="C249" s="2" t="s">
        <v>2488</v>
      </c>
      <c r="D249" s="5" t="s">
        <v>2490</v>
      </c>
      <c r="E249" s="4" t="s">
        <v>2491</v>
      </c>
      <c r="F249" s="6">
        <v>14236763</v>
      </c>
      <c r="G249" s="3">
        <v>14236763</v>
      </c>
      <c r="H249" s="7">
        <v>733003643638</v>
      </c>
      <c r="I249" s="8" t="s">
        <v>3087</v>
      </c>
      <c r="J249" s="4">
        <v>1</v>
      </c>
      <c r="K249" s="9">
        <v>18.989999999999998</v>
      </c>
      <c r="L249" s="9">
        <v>18.989999999999998</v>
      </c>
      <c r="M249" s="4" t="s">
        <v>2984</v>
      </c>
      <c r="N249" s="4" t="s">
        <v>2567</v>
      </c>
      <c r="O249" s="4" t="s">
        <v>2653</v>
      </c>
      <c r="P249" s="4" t="s">
        <v>2515</v>
      </c>
      <c r="Q249" s="4" t="s">
        <v>2972</v>
      </c>
      <c r="R249" s="4"/>
      <c r="S249" s="4"/>
      <c r="T249" s="4" t="str">
        <f>HYPERLINK("http://slimages.macys.com/is/image/MCY/20008203 ")</f>
        <v xml:space="preserve">http://slimages.macys.com/is/image/MCY/20008203 </v>
      </c>
    </row>
    <row r="250" spans="1:20" ht="15" customHeight="1" x14ac:dyDescent="0.25">
      <c r="A250" s="4" t="s">
        <v>2489</v>
      </c>
      <c r="B250" s="2" t="s">
        <v>2487</v>
      </c>
      <c r="C250" s="2" t="s">
        <v>2488</v>
      </c>
      <c r="D250" s="5" t="s">
        <v>2490</v>
      </c>
      <c r="E250" s="4" t="s">
        <v>2491</v>
      </c>
      <c r="F250" s="6">
        <v>14236763</v>
      </c>
      <c r="G250" s="3">
        <v>14236763</v>
      </c>
      <c r="H250" s="7">
        <v>733003644185</v>
      </c>
      <c r="I250" s="8" t="s">
        <v>2001</v>
      </c>
      <c r="J250" s="4">
        <v>2</v>
      </c>
      <c r="K250" s="9">
        <v>15.99</v>
      </c>
      <c r="L250" s="9">
        <v>31.98</v>
      </c>
      <c r="M250" s="4" t="s">
        <v>2998</v>
      </c>
      <c r="N250" s="4" t="s">
        <v>2514</v>
      </c>
      <c r="O250" s="4" t="s">
        <v>2629</v>
      </c>
      <c r="P250" s="4" t="s">
        <v>2515</v>
      </c>
      <c r="Q250" s="4" t="s">
        <v>2972</v>
      </c>
      <c r="R250" s="4"/>
      <c r="S250" s="4"/>
      <c r="T250" s="4" t="str">
        <f>HYPERLINK("http://slimages.macys.com/is/image/MCY/20008061 ")</f>
        <v xml:space="preserve">http://slimages.macys.com/is/image/MCY/20008061 </v>
      </c>
    </row>
    <row r="251" spans="1:20" ht="15" customHeight="1" x14ac:dyDescent="0.25">
      <c r="A251" s="4" t="s">
        <v>2489</v>
      </c>
      <c r="B251" s="2" t="s">
        <v>2487</v>
      </c>
      <c r="C251" s="2" t="s">
        <v>2488</v>
      </c>
      <c r="D251" s="5" t="s">
        <v>2490</v>
      </c>
      <c r="E251" s="4" t="s">
        <v>2491</v>
      </c>
      <c r="F251" s="6">
        <v>14236763</v>
      </c>
      <c r="G251" s="3">
        <v>14236763</v>
      </c>
      <c r="H251" s="7">
        <v>762120085441</v>
      </c>
      <c r="I251" s="8" t="s">
        <v>3215</v>
      </c>
      <c r="J251" s="4">
        <v>1</v>
      </c>
      <c r="K251" s="9">
        <v>7.99</v>
      </c>
      <c r="L251" s="9">
        <v>7.99</v>
      </c>
      <c r="M251" s="4" t="s">
        <v>2929</v>
      </c>
      <c r="N251" s="4"/>
      <c r="O251" s="4">
        <v>6</v>
      </c>
      <c r="P251" s="4" t="s">
        <v>2602</v>
      </c>
      <c r="Q251" s="4" t="s">
        <v>2528</v>
      </c>
      <c r="R251" s="4"/>
      <c r="S251" s="4"/>
      <c r="T251" s="4" t="str">
        <f>HYPERLINK("http://slimages.macys.com/is/image/MCY/20691811 ")</f>
        <v xml:space="preserve">http://slimages.macys.com/is/image/MCY/20691811 </v>
      </c>
    </row>
    <row r="252" spans="1:20" ht="15" customHeight="1" x14ac:dyDescent="0.25">
      <c r="A252" s="4" t="s">
        <v>2489</v>
      </c>
      <c r="B252" s="2" t="s">
        <v>2487</v>
      </c>
      <c r="C252" s="2" t="s">
        <v>2488</v>
      </c>
      <c r="D252" s="5" t="s">
        <v>2490</v>
      </c>
      <c r="E252" s="4" t="s">
        <v>2491</v>
      </c>
      <c r="F252" s="6">
        <v>14236763</v>
      </c>
      <c r="G252" s="3">
        <v>14236763</v>
      </c>
      <c r="H252" s="7">
        <v>733004920141</v>
      </c>
      <c r="I252" s="8" t="s">
        <v>915</v>
      </c>
      <c r="J252" s="4">
        <v>1</v>
      </c>
      <c r="K252" s="9">
        <v>7.99</v>
      </c>
      <c r="L252" s="9">
        <v>7.99</v>
      </c>
      <c r="M252" s="4" t="s">
        <v>2382</v>
      </c>
      <c r="N252" s="4" t="s">
        <v>2531</v>
      </c>
      <c r="O252" s="4" t="s">
        <v>2628</v>
      </c>
      <c r="P252" s="4" t="s">
        <v>2503</v>
      </c>
      <c r="Q252" s="4" t="s">
        <v>2504</v>
      </c>
      <c r="R252" s="4"/>
      <c r="S252" s="4"/>
      <c r="T252" s="4" t="str">
        <f>HYPERLINK("http://slimages.macys.com/is/image/MCY/1077389 ")</f>
        <v xml:space="preserve">http://slimages.macys.com/is/image/MCY/1077389 </v>
      </c>
    </row>
    <row r="253" spans="1:20" ht="15" customHeight="1" x14ac:dyDescent="0.25">
      <c r="A253" s="4" t="s">
        <v>2489</v>
      </c>
      <c r="B253" s="2" t="s">
        <v>2487</v>
      </c>
      <c r="C253" s="2" t="s">
        <v>2488</v>
      </c>
      <c r="D253" s="5" t="s">
        <v>2490</v>
      </c>
      <c r="E253" s="4" t="s">
        <v>2491</v>
      </c>
      <c r="F253" s="6">
        <v>14236763</v>
      </c>
      <c r="G253" s="3">
        <v>14236763</v>
      </c>
      <c r="H253" s="7">
        <v>733004920301</v>
      </c>
      <c r="I253" s="8" t="s">
        <v>916</v>
      </c>
      <c r="J253" s="4">
        <v>1</v>
      </c>
      <c r="K253" s="9">
        <v>7.99</v>
      </c>
      <c r="L253" s="9">
        <v>7.99</v>
      </c>
      <c r="M253" s="4" t="s">
        <v>2296</v>
      </c>
      <c r="N253" s="4" t="s">
        <v>2565</v>
      </c>
      <c r="O253" s="4" t="s">
        <v>2628</v>
      </c>
      <c r="P253" s="4" t="s">
        <v>2503</v>
      </c>
      <c r="Q253" s="4" t="s">
        <v>2504</v>
      </c>
      <c r="R253" s="4"/>
      <c r="S253" s="4"/>
      <c r="T253" s="4" t="str">
        <f>HYPERLINK("http://slimages.macys.com/is/image/MCY/1054583 ")</f>
        <v xml:space="preserve">http://slimages.macys.com/is/image/MCY/1054583 </v>
      </c>
    </row>
    <row r="254" spans="1:20" ht="15" customHeight="1" x14ac:dyDescent="0.25">
      <c r="A254" s="4" t="s">
        <v>2489</v>
      </c>
      <c r="B254" s="2" t="s">
        <v>2487</v>
      </c>
      <c r="C254" s="2" t="s">
        <v>2488</v>
      </c>
      <c r="D254" s="5" t="s">
        <v>2490</v>
      </c>
      <c r="E254" s="4" t="s">
        <v>2491</v>
      </c>
      <c r="F254" s="6">
        <v>14236763</v>
      </c>
      <c r="G254" s="3">
        <v>14236763</v>
      </c>
      <c r="H254" s="7">
        <v>733003580681</v>
      </c>
      <c r="I254" s="8" t="s">
        <v>3437</v>
      </c>
      <c r="J254" s="4">
        <v>1</v>
      </c>
      <c r="K254" s="9">
        <v>34.99</v>
      </c>
      <c r="L254" s="9">
        <v>34.99</v>
      </c>
      <c r="M254" s="4" t="s">
        <v>3438</v>
      </c>
      <c r="N254" s="4" t="s">
        <v>2611</v>
      </c>
      <c r="O254" s="4" t="s">
        <v>2502</v>
      </c>
      <c r="P254" s="4" t="s">
        <v>2503</v>
      </c>
      <c r="Q254" s="4" t="s">
        <v>2504</v>
      </c>
      <c r="R254" s="4"/>
      <c r="S254" s="4"/>
      <c r="T254" s="4" t="str">
        <f>HYPERLINK("http://slimages.macys.com/is/image/MCY/19377709 ")</f>
        <v xml:space="preserve">http://slimages.macys.com/is/image/MCY/19377709 </v>
      </c>
    </row>
    <row r="255" spans="1:20" ht="15" customHeight="1" x14ac:dyDescent="0.25">
      <c r="A255" s="4" t="s">
        <v>2489</v>
      </c>
      <c r="B255" s="2" t="s">
        <v>2487</v>
      </c>
      <c r="C255" s="2" t="s">
        <v>2488</v>
      </c>
      <c r="D255" s="5" t="s">
        <v>2490</v>
      </c>
      <c r="E255" s="4" t="s">
        <v>2491</v>
      </c>
      <c r="F255" s="6">
        <v>14236763</v>
      </c>
      <c r="G255" s="3">
        <v>14236763</v>
      </c>
      <c r="H255" s="7">
        <v>640013892676</v>
      </c>
      <c r="I255" s="8" t="s">
        <v>917</v>
      </c>
      <c r="J255" s="4">
        <v>1</v>
      </c>
      <c r="K255" s="9">
        <v>11.99</v>
      </c>
      <c r="L255" s="9">
        <v>11.99</v>
      </c>
      <c r="M255" s="4" t="s">
        <v>3413</v>
      </c>
      <c r="N255" s="4" t="s">
        <v>2497</v>
      </c>
      <c r="O255" s="4" t="s">
        <v>2555</v>
      </c>
      <c r="P255" s="4" t="s">
        <v>2556</v>
      </c>
      <c r="Q255" s="4" t="s">
        <v>2557</v>
      </c>
      <c r="R255" s="4"/>
      <c r="S255" s="4"/>
      <c r="T255" s="4" t="str">
        <f>HYPERLINK("http://slimages.macys.com/is/image/MCY/16647601 ")</f>
        <v xml:space="preserve">http://slimages.macys.com/is/image/MCY/16647601 </v>
      </c>
    </row>
    <row r="256" spans="1:20" ht="15" customHeight="1" x14ac:dyDescent="0.25">
      <c r="A256" s="4" t="s">
        <v>2489</v>
      </c>
      <c r="B256" s="2" t="s">
        <v>2487</v>
      </c>
      <c r="C256" s="2" t="s">
        <v>2488</v>
      </c>
      <c r="D256" s="5" t="s">
        <v>2490</v>
      </c>
      <c r="E256" s="4" t="s">
        <v>2491</v>
      </c>
      <c r="F256" s="6">
        <v>14236763</v>
      </c>
      <c r="G256" s="3">
        <v>14236763</v>
      </c>
      <c r="H256" s="7">
        <v>195883922706</v>
      </c>
      <c r="I256" s="8" t="s">
        <v>918</v>
      </c>
      <c r="J256" s="4">
        <v>1</v>
      </c>
      <c r="K256" s="9">
        <v>8.31</v>
      </c>
      <c r="L256" s="9">
        <v>8.31</v>
      </c>
      <c r="M256" s="4" t="s">
        <v>3409</v>
      </c>
      <c r="N256" s="4" t="s">
        <v>2567</v>
      </c>
      <c r="O256" s="4">
        <v>5</v>
      </c>
      <c r="P256" s="4" t="s">
        <v>2506</v>
      </c>
      <c r="Q256" s="4" t="s">
        <v>2527</v>
      </c>
      <c r="R256" s="4"/>
      <c r="S256" s="4"/>
      <c r="T256" s="4" t="str">
        <f>HYPERLINK("http://slimages.macys.com/is/image/MCY/20905075 ")</f>
        <v xml:space="preserve">http://slimages.macys.com/is/image/MCY/20905075 </v>
      </c>
    </row>
    <row r="257" spans="1:20" ht="15" customHeight="1" x14ac:dyDescent="0.25">
      <c r="A257" s="4" t="s">
        <v>2489</v>
      </c>
      <c r="B257" s="2" t="s">
        <v>2487</v>
      </c>
      <c r="C257" s="2" t="s">
        <v>2488</v>
      </c>
      <c r="D257" s="5" t="s">
        <v>2490</v>
      </c>
      <c r="E257" s="4" t="s">
        <v>2491</v>
      </c>
      <c r="F257" s="6">
        <v>14236763</v>
      </c>
      <c r="G257" s="3">
        <v>14236763</v>
      </c>
      <c r="H257" s="7">
        <v>742728813370</v>
      </c>
      <c r="I257" s="8" t="s">
        <v>919</v>
      </c>
      <c r="J257" s="4">
        <v>1</v>
      </c>
      <c r="K257" s="9">
        <v>34.99</v>
      </c>
      <c r="L257" s="9">
        <v>34.99</v>
      </c>
      <c r="M257" s="4" t="s">
        <v>920</v>
      </c>
      <c r="N257" s="4" t="s">
        <v>2535</v>
      </c>
      <c r="O257" s="4">
        <v>7</v>
      </c>
      <c r="P257" s="4" t="s">
        <v>2499</v>
      </c>
      <c r="Q257" s="4" t="s">
        <v>3093</v>
      </c>
      <c r="R257" s="4"/>
      <c r="S257" s="4"/>
      <c r="T257" s="4" t="str">
        <f>HYPERLINK("http://slimages.macys.com/is/image/MCY/20168585 ")</f>
        <v xml:space="preserve">http://slimages.macys.com/is/image/MCY/20168585 </v>
      </c>
    </row>
    <row r="258" spans="1:20" ht="15" customHeight="1" x14ac:dyDescent="0.25">
      <c r="A258" s="4" t="s">
        <v>2489</v>
      </c>
      <c r="B258" s="2" t="s">
        <v>2487</v>
      </c>
      <c r="C258" s="2" t="s">
        <v>2488</v>
      </c>
      <c r="D258" s="5" t="s">
        <v>2490</v>
      </c>
      <c r="E258" s="4" t="s">
        <v>2491</v>
      </c>
      <c r="F258" s="6">
        <v>14236763</v>
      </c>
      <c r="G258" s="3">
        <v>14236763</v>
      </c>
      <c r="H258" s="7">
        <v>733004294655</v>
      </c>
      <c r="I258" s="8" t="s">
        <v>1552</v>
      </c>
      <c r="J258" s="4">
        <v>1</v>
      </c>
      <c r="K258" s="9">
        <v>19.989999999999998</v>
      </c>
      <c r="L258" s="9">
        <v>19.989999999999998</v>
      </c>
      <c r="M258" s="4" t="s">
        <v>3008</v>
      </c>
      <c r="N258" s="4" t="s">
        <v>2531</v>
      </c>
      <c r="O258" s="4" t="s">
        <v>2601</v>
      </c>
      <c r="P258" s="4" t="s">
        <v>2503</v>
      </c>
      <c r="Q258" s="4" t="s">
        <v>2504</v>
      </c>
      <c r="R258" s="4"/>
      <c r="S258" s="4"/>
      <c r="T258" s="4" t="str">
        <f>HYPERLINK("http://slimages.macys.com/is/image/MCY/19754689 ")</f>
        <v xml:space="preserve">http://slimages.macys.com/is/image/MCY/19754689 </v>
      </c>
    </row>
    <row r="259" spans="1:20" ht="15" customHeight="1" x14ac:dyDescent="0.25">
      <c r="A259" s="4" t="s">
        <v>2489</v>
      </c>
      <c r="B259" s="2" t="s">
        <v>2487</v>
      </c>
      <c r="C259" s="2" t="s">
        <v>2488</v>
      </c>
      <c r="D259" s="5" t="s">
        <v>2490</v>
      </c>
      <c r="E259" s="4" t="s">
        <v>2491</v>
      </c>
      <c r="F259" s="6">
        <v>14236763</v>
      </c>
      <c r="G259" s="3">
        <v>14236763</v>
      </c>
      <c r="H259" s="7">
        <v>733004741197</v>
      </c>
      <c r="I259" s="8" t="s">
        <v>921</v>
      </c>
      <c r="J259" s="4">
        <v>1</v>
      </c>
      <c r="K259" s="9">
        <v>5.99</v>
      </c>
      <c r="L259" s="9">
        <v>5.99</v>
      </c>
      <c r="M259" s="4" t="s">
        <v>805</v>
      </c>
      <c r="N259" s="4" t="s">
        <v>2561</v>
      </c>
      <c r="O259" s="4" t="s">
        <v>2502</v>
      </c>
      <c r="P259" s="4" t="s">
        <v>2503</v>
      </c>
      <c r="Q259" s="4" t="s">
        <v>2504</v>
      </c>
      <c r="R259" s="4"/>
      <c r="S259" s="4"/>
      <c r="T259" s="4" t="str">
        <f>HYPERLINK("http://slimages.macys.com/is/image/MCY/19977786 ")</f>
        <v xml:space="preserve">http://slimages.macys.com/is/image/MCY/19977786 </v>
      </c>
    </row>
    <row r="260" spans="1:20" ht="15" customHeight="1" x14ac:dyDescent="0.25">
      <c r="A260" s="4" t="s">
        <v>2489</v>
      </c>
      <c r="B260" s="2" t="s">
        <v>2487</v>
      </c>
      <c r="C260" s="2" t="s">
        <v>2488</v>
      </c>
      <c r="D260" s="5" t="s">
        <v>2490</v>
      </c>
      <c r="E260" s="4" t="s">
        <v>2491</v>
      </c>
      <c r="F260" s="6">
        <v>14236763</v>
      </c>
      <c r="G260" s="3">
        <v>14236763</v>
      </c>
      <c r="H260" s="7">
        <v>762120084499</v>
      </c>
      <c r="I260" s="8" t="s">
        <v>1800</v>
      </c>
      <c r="J260" s="4">
        <v>1</v>
      </c>
      <c r="K260" s="9">
        <v>7.99</v>
      </c>
      <c r="L260" s="9">
        <v>7.99</v>
      </c>
      <c r="M260" s="4" t="s">
        <v>3123</v>
      </c>
      <c r="N260" s="4" t="s">
        <v>2501</v>
      </c>
      <c r="O260" s="4">
        <v>6</v>
      </c>
      <c r="P260" s="4" t="s">
        <v>2602</v>
      </c>
      <c r="Q260" s="4" t="s">
        <v>2528</v>
      </c>
      <c r="R260" s="4"/>
      <c r="S260" s="4"/>
      <c r="T260" s="4" t="str">
        <f>HYPERLINK("http://slimages.macys.com/is/image/MCY/20691761 ")</f>
        <v xml:space="preserve">http://slimages.macys.com/is/image/MCY/20691761 </v>
      </c>
    </row>
    <row r="261" spans="1:20" ht="15" customHeight="1" x14ac:dyDescent="0.25">
      <c r="A261" s="4" t="s">
        <v>2489</v>
      </c>
      <c r="B261" s="2" t="s">
        <v>2487</v>
      </c>
      <c r="C261" s="2" t="s">
        <v>2488</v>
      </c>
      <c r="D261" s="5" t="s">
        <v>2490</v>
      </c>
      <c r="E261" s="4" t="s">
        <v>2491</v>
      </c>
      <c r="F261" s="6">
        <v>14236763</v>
      </c>
      <c r="G261" s="3">
        <v>14236763</v>
      </c>
      <c r="H261" s="7">
        <v>492030649210</v>
      </c>
      <c r="I261" s="8" t="s">
        <v>1243</v>
      </c>
      <c r="J261" s="4">
        <v>3</v>
      </c>
      <c r="K261" s="9">
        <v>7.5</v>
      </c>
      <c r="L261" s="9">
        <v>22.5</v>
      </c>
      <c r="M261" s="4" t="s">
        <v>1244</v>
      </c>
      <c r="N261" s="4" t="s">
        <v>2769</v>
      </c>
      <c r="O261" s="4" t="s">
        <v>2669</v>
      </c>
      <c r="P261" s="4" t="s">
        <v>2503</v>
      </c>
      <c r="Q261" s="4" t="s">
        <v>2504</v>
      </c>
      <c r="R261" s="4"/>
      <c r="S261" s="4"/>
      <c r="T261" s="4"/>
    </row>
    <row r="262" spans="1:20" ht="15" customHeight="1" x14ac:dyDescent="0.25">
      <c r="A262" s="4" t="s">
        <v>2489</v>
      </c>
      <c r="B262" s="2" t="s">
        <v>2487</v>
      </c>
      <c r="C262" s="2" t="s">
        <v>2488</v>
      </c>
      <c r="D262" s="5" t="s">
        <v>2490</v>
      </c>
      <c r="E262" s="4" t="s">
        <v>2491</v>
      </c>
      <c r="F262" s="6">
        <v>14236763</v>
      </c>
      <c r="G262" s="3">
        <v>14236763</v>
      </c>
      <c r="H262" s="7">
        <v>733004952487</v>
      </c>
      <c r="I262" s="8" t="s">
        <v>3420</v>
      </c>
      <c r="J262" s="4">
        <v>2</v>
      </c>
      <c r="K262" s="9">
        <v>13.99</v>
      </c>
      <c r="L262" s="9">
        <v>27.98</v>
      </c>
      <c r="M262" s="4" t="s">
        <v>3019</v>
      </c>
      <c r="N262" s="4" t="s">
        <v>2565</v>
      </c>
      <c r="O262" s="4" t="s">
        <v>2559</v>
      </c>
      <c r="P262" s="4" t="s">
        <v>2503</v>
      </c>
      <c r="Q262" s="4" t="s">
        <v>2504</v>
      </c>
      <c r="R262" s="4"/>
      <c r="S262" s="4"/>
      <c r="T262" s="4" t="str">
        <f>HYPERLINK("http://slimages.macys.com/is/image/MCY/1070791 ")</f>
        <v xml:space="preserve">http://slimages.macys.com/is/image/MCY/1070791 </v>
      </c>
    </row>
    <row r="263" spans="1:20" ht="15" customHeight="1" x14ac:dyDescent="0.25">
      <c r="A263" s="4" t="s">
        <v>2489</v>
      </c>
      <c r="B263" s="2" t="s">
        <v>2487</v>
      </c>
      <c r="C263" s="2" t="s">
        <v>2488</v>
      </c>
      <c r="D263" s="5" t="s">
        <v>2490</v>
      </c>
      <c r="E263" s="4" t="s">
        <v>2491</v>
      </c>
      <c r="F263" s="6">
        <v>14236763</v>
      </c>
      <c r="G263" s="3">
        <v>14236763</v>
      </c>
      <c r="H263" s="7">
        <v>762120113298</v>
      </c>
      <c r="I263" s="8" t="s">
        <v>1348</v>
      </c>
      <c r="J263" s="4">
        <v>1</v>
      </c>
      <c r="K263" s="9">
        <v>6.99</v>
      </c>
      <c r="L263" s="9">
        <v>6.99</v>
      </c>
      <c r="M263" s="4" t="s">
        <v>2660</v>
      </c>
      <c r="N263" s="4" t="s">
        <v>2598</v>
      </c>
      <c r="O263" s="4" t="s">
        <v>2502</v>
      </c>
      <c r="P263" s="4" t="s">
        <v>2503</v>
      </c>
      <c r="Q263" s="4" t="s">
        <v>2504</v>
      </c>
      <c r="R263" s="4"/>
      <c r="S263" s="4"/>
      <c r="T263" s="4" t="str">
        <f>HYPERLINK("http://slimages.macys.com/is/image/MCY/19977390 ")</f>
        <v xml:space="preserve">http://slimages.macys.com/is/image/MCY/19977390 </v>
      </c>
    </row>
    <row r="264" spans="1:20" ht="15" customHeight="1" x14ac:dyDescent="0.25">
      <c r="A264" s="4" t="s">
        <v>2489</v>
      </c>
      <c r="B264" s="2" t="s">
        <v>2487</v>
      </c>
      <c r="C264" s="2" t="s">
        <v>2488</v>
      </c>
      <c r="D264" s="5" t="s">
        <v>2490</v>
      </c>
      <c r="E264" s="4" t="s">
        <v>2491</v>
      </c>
      <c r="F264" s="6">
        <v>14236763</v>
      </c>
      <c r="G264" s="3">
        <v>14236763</v>
      </c>
      <c r="H264" s="7">
        <v>492030649227</v>
      </c>
      <c r="I264" s="8" t="s">
        <v>1281</v>
      </c>
      <c r="J264" s="4">
        <v>8</v>
      </c>
      <c r="K264" s="9">
        <v>7.5</v>
      </c>
      <c r="L264" s="9">
        <v>60</v>
      </c>
      <c r="M264" s="4" t="s">
        <v>1281</v>
      </c>
      <c r="N264" s="4" t="s">
        <v>2769</v>
      </c>
      <c r="O264" s="4" t="s">
        <v>2669</v>
      </c>
      <c r="P264" s="4" t="s">
        <v>2494</v>
      </c>
      <c r="Q264" s="4" t="s">
        <v>2495</v>
      </c>
      <c r="R264" s="4"/>
      <c r="S264" s="4"/>
      <c r="T264" s="4"/>
    </row>
    <row r="265" spans="1:20" ht="15" customHeight="1" x14ac:dyDescent="0.25">
      <c r="A265" s="4" t="s">
        <v>2489</v>
      </c>
      <c r="B265" s="2" t="s">
        <v>2487</v>
      </c>
      <c r="C265" s="2" t="s">
        <v>2488</v>
      </c>
      <c r="D265" s="5" t="s">
        <v>2490</v>
      </c>
      <c r="E265" s="4" t="s">
        <v>2491</v>
      </c>
      <c r="F265" s="6">
        <v>14236763</v>
      </c>
      <c r="G265" s="3">
        <v>14236763</v>
      </c>
      <c r="H265" s="7">
        <v>733004883705</v>
      </c>
      <c r="I265" s="8" t="s">
        <v>2458</v>
      </c>
      <c r="J265" s="4">
        <v>1</v>
      </c>
      <c r="K265" s="9">
        <v>6.99</v>
      </c>
      <c r="L265" s="9">
        <v>6.99</v>
      </c>
      <c r="M265" s="4" t="s">
        <v>2826</v>
      </c>
      <c r="N265" s="4" t="s">
        <v>2505</v>
      </c>
      <c r="O265" s="4" t="s">
        <v>2559</v>
      </c>
      <c r="P265" s="4" t="s">
        <v>2503</v>
      </c>
      <c r="Q265" s="4" t="s">
        <v>2504</v>
      </c>
      <c r="R265" s="4"/>
      <c r="S265" s="4"/>
      <c r="T265" s="4" t="str">
        <f>HYPERLINK("http://slimages.macys.com/is/image/MCY/1070793 ")</f>
        <v xml:space="preserve">http://slimages.macys.com/is/image/MCY/1070793 </v>
      </c>
    </row>
    <row r="266" spans="1:20" ht="15" customHeight="1" x14ac:dyDescent="0.25">
      <c r="A266" s="4" t="s">
        <v>2489</v>
      </c>
      <c r="B266" s="2" t="s">
        <v>2487</v>
      </c>
      <c r="C266" s="2" t="s">
        <v>2488</v>
      </c>
      <c r="D266" s="5" t="s">
        <v>2490</v>
      </c>
      <c r="E266" s="4" t="s">
        <v>2491</v>
      </c>
      <c r="F266" s="6">
        <v>14236763</v>
      </c>
      <c r="G266" s="3">
        <v>14236763</v>
      </c>
      <c r="H266" s="7">
        <v>762120022941</v>
      </c>
      <c r="I266" s="8" t="s">
        <v>2459</v>
      </c>
      <c r="J266" s="4">
        <v>1</v>
      </c>
      <c r="K266" s="9">
        <v>7.99</v>
      </c>
      <c r="L266" s="9">
        <v>7.99</v>
      </c>
      <c r="M266" s="4" t="s">
        <v>2337</v>
      </c>
      <c r="N266" s="4" t="s">
        <v>2518</v>
      </c>
      <c r="O266" s="4" t="s">
        <v>2629</v>
      </c>
      <c r="P266" s="4" t="s">
        <v>2503</v>
      </c>
      <c r="Q266" s="4" t="s">
        <v>2504</v>
      </c>
      <c r="R266" s="4"/>
      <c r="S266" s="4"/>
      <c r="T266" s="4" t="str">
        <f>HYPERLINK("http://slimages.macys.com/is/image/MCY/19977730 ")</f>
        <v xml:space="preserve">http://slimages.macys.com/is/image/MCY/19977730 </v>
      </c>
    </row>
    <row r="267" spans="1:20" ht="15" customHeight="1" x14ac:dyDescent="0.25">
      <c r="A267" s="4" t="s">
        <v>2489</v>
      </c>
      <c r="B267" s="2" t="s">
        <v>2487</v>
      </c>
      <c r="C267" s="2" t="s">
        <v>2488</v>
      </c>
      <c r="D267" s="5" t="s">
        <v>2490</v>
      </c>
      <c r="E267" s="4" t="s">
        <v>2491</v>
      </c>
      <c r="F267" s="6">
        <v>14236763</v>
      </c>
      <c r="G267" s="3">
        <v>14236763</v>
      </c>
      <c r="H267" s="7">
        <v>194135407602</v>
      </c>
      <c r="I267" s="8" t="s">
        <v>2854</v>
      </c>
      <c r="J267" s="4">
        <v>1</v>
      </c>
      <c r="K267" s="9">
        <v>25.07</v>
      </c>
      <c r="L267" s="9">
        <v>25.07</v>
      </c>
      <c r="M267" s="4" t="s">
        <v>2855</v>
      </c>
      <c r="N267" s="4"/>
      <c r="O267" s="4" t="s">
        <v>2493</v>
      </c>
      <c r="P267" s="4" t="s">
        <v>2494</v>
      </c>
      <c r="Q267" s="4" t="s">
        <v>2560</v>
      </c>
      <c r="R267" s="4"/>
      <c r="S267" s="4"/>
      <c r="T267" s="4" t="str">
        <f>HYPERLINK("http://slimages.macys.com/is/image/MCY/19836379 ")</f>
        <v xml:space="preserve">http://slimages.macys.com/is/image/MCY/19836379 </v>
      </c>
    </row>
    <row r="268" spans="1:20" ht="15" customHeight="1" x14ac:dyDescent="0.25">
      <c r="A268" s="4" t="s">
        <v>2489</v>
      </c>
      <c r="B268" s="2" t="s">
        <v>2487</v>
      </c>
      <c r="C268" s="2" t="s">
        <v>2488</v>
      </c>
      <c r="D268" s="5" t="s">
        <v>2490</v>
      </c>
      <c r="E268" s="4" t="s">
        <v>2491</v>
      </c>
      <c r="F268" s="6">
        <v>14236763</v>
      </c>
      <c r="G268" s="3">
        <v>14236763</v>
      </c>
      <c r="H268" s="7">
        <v>194135270121</v>
      </c>
      <c r="I268" s="8" t="s">
        <v>922</v>
      </c>
      <c r="J268" s="4">
        <v>1</v>
      </c>
      <c r="K268" s="9">
        <v>25.07</v>
      </c>
      <c r="L268" s="9">
        <v>25.07</v>
      </c>
      <c r="M268" s="4" t="s">
        <v>2999</v>
      </c>
      <c r="N268" s="4"/>
      <c r="O268" s="4" t="s">
        <v>2493</v>
      </c>
      <c r="P268" s="4" t="s">
        <v>2494</v>
      </c>
      <c r="Q268" s="4" t="s">
        <v>2560</v>
      </c>
      <c r="R268" s="4"/>
      <c r="S268" s="4"/>
      <c r="T268" s="4" t="str">
        <f>HYPERLINK("http://slimages.macys.com/is/image/MCY/19146444 ")</f>
        <v xml:space="preserve">http://slimages.macys.com/is/image/MCY/19146444 </v>
      </c>
    </row>
    <row r="269" spans="1:20" ht="15" customHeight="1" x14ac:dyDescent="0.25">
      <c r="A269" s="4" t="s">
        <v>2489</v>
      </c>
      <c r="B269" s="2" t="s">
        <v>2487</v>
      </c>
      <c r="C269" s="2" t="s">
        <v>2488</v>
      </c>
      <c r="D269" s="5" t="s">
        <v>2490</v>
      </c>
      <c r="E269" s="4" t="s">
        <v>2491</v>
      </c>
      <c r="F269" s="6">
        <v>14236763</v>
      </c>
      <c r="G269" s="3">
        <v>14236763</v>
      </c>
      <c r="H269" s="7">
        <v>733004884375</v>
      </c>
      <c r="I269" s="8" t="s">
        <v>2468</v>
      </c>
      <c r="J269" s="4">
        <v>1</v>
      </c>
      <c r="K269" s="9">
        <v>6.99</v>
      </c>
      <c r="L269" s="9">
        <v>6.99</v>
      </c>
      <c r="M269" s="4" t="s">
        <v>2026</v>
      </c>
      <c r="N269" s="4" t="s">
        <v>2638</v>
      </c>
      <c r="O269" s="4" t="s">
        <v>2607</v>
      </c>
      <c r="P269" s="4" t="s">
        <v>2503</v>
      </c>
      <c r="Q269" s="4" t="s">
        <v>2504</v>
      </c>
      <c r="R269" s="4"/>
      <c r="S269" s="4"/>
      <c r="T269" s="4" t="str">
        <f>HYPERLINK("http://slimages.macys.com/is/image/MCY/1041673 ")</f>
        <v xml:space="preserve">http://slimages.macys.com/is/image/MCY/1041673 </v>
      </c>
    </row>
    <row r="270" spans="1:20" ht="15" customHeight="1" x14ac:dyDescent="0.25">
      <c r="A270" s="4" t="s">
        <v>2489</v>
      </c>
      <c r="B270" s="2" t="s">
        <v>2487</v>
      </c>
      <c r="C270" s="2" t="s">
        <v>2488</v>
      </c>
      <c r="D270" s="5" t="s">
        <v>2490</v>
      </c>
      <c r="E270" s="4" t="s">
        <v>2491</v>
      </c>
      <c r="F270" s="6">
        <v>14236763</v>
      </c>
      <c r="G270" s="3">
        <v>14236763</v>
      </c>
      <c r="H270" s="7">
        <v>733004723704</v>
      </c>
      <c r="I270" s="8" t="s">
        <v>751</v>
      </c>
      <c r="J270" s="4">
        <v>1</v>
      </c>
      <c r="K270" s="9">
        <v>20.99</v>
      </c>
      <c r="L270" s="9">
        <v>20.99</v>
      </c>
      <c r="M270" s="4" t="s">
        <v>3137</v>
      </c>
      <c r="N270" s="4" t="s">
        <v>2531</v>
      </c>
      <c r="O270" s="4" t="s">
        <v>2566</v>
      </c>
      <c r="P270" s="4" t="s">
        <v>2503</v>
      </c>
      <c r="Q270" s="4" t="s">
        <v>2504</v>
      </c>
      <c r="R270" s="4"/>
      <c r="S270" s="4"/>
      <c r="T270" s="4" t="str">
        <f>HYPERLINK("http://slimages.macys.com/is/image/MCY/19977924 ")</f>
        <v xml:space="preserve">http://slimages.macys.com/is/image/MCY/19977924 </v>
      </c>
    </row>
    <row r="271" spans="1:20" ht="15" customHeight="1" x14ac:dyDescent="0.25">
      <c r="A271" s="4" t="s">
        <v>2489</v>
      </c>
      <c r="B271" s="2" t="s">
        <v>2487</v>
      </c>
      <c r="C271" s="2" t="s">
        <v>2488</v>
      </c>
      <c r="D271" s="5" t="s">
        <v>2490</v>
      </c>
      <c r="E271" s="4" t="s">
        <v>2491</v>
      </c>
      <c r="F271" s="6">
        <v>14236763</v>
      </c>
      <c r="G271" s="3">
        <v>14236763</v>
      </c>
      <c r="H271" s="7">
        <v>194257388124</v>
      </c>
      <c r="I271" s="8" t="s">
        <v>1293</v>
      </c>
      <c r="J271" s="4">
        <v>1</v>
      </c>
      <c r="K271" s="9">
        <v>7.99</v>
      </c>
      <c r="L271" s="9">
        <v>7.99</v>
      </c>
      <c r="M271" s="4" t="s">
        <v>2496</v>
      </c>
      <c r="N271" s="4" t="s">
        <v>2501</v>
      </c>
      <c r="O271" s="4" t="s">
        <v>2498</v>
      </c>
      <c r="P271" s="4" t="s">
        <v>2499</v>
      </c>
      <c r="Q271" s="4" t="s">
        <v>2500</v>
      </c>
      <c r="R271" s="4"/>
      <c r="S271" s="4"/>
      <c r="T271" s="4" t="str">
        <f>HYPERLINK("http://slimages.macys.com/is/image/MCY/19933400 ")</f>
        <v xml:space="preserve">http://slimages.macys.com/is/image/MCY/19933400 </v>
      </c>
    </row>
    <row r="272" spans="1:20" ht="15" customHeight="1" x14ac:dyDescent="0.25">
      <c r="A272" s="4" t="s">
        <v>2489</v>
      </c>
      <c r="B272" s="2" t="s">
        <v>2487</v>
      </c>
      <c r="C272" s="2" t="s">
        <v>2488</v>
      </c>
      <c r="D272" s="5" t="s">
        <v>2490</v>
      </c>
      <c r="E272" s="4" t="s">
        <v>2491</v>
      </c>
      <c r="F272" s="6">
        <v>14236763</v>
      </c>
      <c r="G272" s="3">
        <v>14236763</v>
      </c>
      <c r="H272" s="7">
        <v>192042007007</v>
      </c>
      <c r="I272" s="8" t="s">
        <v>923</v>
      </c>
      <c r="J272" s="4">
        <v>2</v>
      </c>
      <c r="K272" s="9">
        <v>28.99</v>
      </c>
      <c r="L272" s="9">
        <v>57.98</v>
      </c>
      <c r="M272" s="4" t="s">
        <v>3314</v>
      </c>
      <c r="N272" s="4" t="s">
        <v>2853</v>
      </c>
      <c r="O272" s="4">
        <v>7</v>
      </c>
      <c r="P272" s="4" t="s">
        <v>2622</v>
      </c>
      <c r="Q272" s="4" t="s">
        <v>3315</v>
      </c>
      <c r="R272" s="4" t="s">
        <v>2552</v>
      </c>
      <c r="S272" s="4" t="s">
        <v>2678</v>
      </c>
      <c r="T272" s="4" t="str">
        <f>HYPERLINK("http://slimages.macys.com/is/image/MCY/11014484 ")</f>
        <v xml:space="preserve">http://slimages.macys.com/is/image/MCY/11014484 </v>
      </c>
    </row>
    <row r="273" spans="1:20" ht="15" customHeight="1" x14ac:dyDescent="0.25">
      <c r="A273" s="4" t="s">
        <v>2489</v>
      </c>
      <c r="B273" s="2" t="s">
        <v>2487</v>
      </c>
      <c r="C273" s="2" t="s">
        <v>2488</v>
      </c>
      <c r="D273" s="5" t="s">
        <v>2490</v>
      </c>
      <c r="E273" s="4" t="s">
        <v>2491</v>
      </c>
      <c r="F273" s="6">
        <v>14236763</v>
      </c>
      <c r="G273" s="3">
        <v>14236763</v>
      </c>
      <c r="H273" s="7">
        <v>194257616890</v>
      </c>
      <c r="I273" s="8" t="s">
        <v>1836</v>
      </c>
      <c r="J273" s="4">
        <v>2</v>
      </c>
      <c r="K273" s="9">
        <v>12.99</v>
      </c>
      <c r="L273" s="9">
        <v>25.98</v>
      </c>
      <c r="M273" s="4" t="s">
        <v>1837</v>
      </c>
      <c r="N273" s="4" t="s">
        <v>2561</v>
      </c>
      <c r="O273" s="4" t="s">
        <v>2498</v>
      </c>
      <c r="P273" s="4" t="s">
        <v>2619</v>
      </c>
      <c r="Q273" s="4" t="s">
        <v>2500</v>
      </c>
      <c r="R273" s="4"/>
      <c r="S273" s="4"/>
      <c r="T273" s="4"/>
    </row>
    <row r="274" spans="1:20" ht="15" customHeight="1" x14ac:dyDescent="0.25">
      <c r="A274" s="4" t="s">
        <v>2489</v>
      </c>
      <c r="B274" s="2" t="s">
        <v>2487</v>
      </c>
      <c r="C274" s="2" t="s">
        <v>2488</v>
      </c>
      <c r="D274" s="5" t="s">
        <v>2490</v>
      </c>
      <c r="E274" s="4" t="s">
        <v>2491</v>
      </c>
      <c r="F274" s="6">
        <v>14236763</v>
      </c>
      <c r="G274" s="3">
        <v>14236763</v>
      </c>
      <c r="H274" s="7">
        <v>733004958526</v>
      </c>
      <c r="I274" s="8" t="s">
        <v>924</v>
      </c>
      <c r="J274" s="4">
        <v>1</v>
      </c>
      <c r="K274" s="9">
        <v>21.99</v>
      </c>
      <c r="L274" s="9">
        <v>21.99</v>
      </c>
      <c r="M274" s="4" t="s">
        <v>800</v>
      </c>
      <c r="N274" s="4" t="s">
        <v>2531</v>
      </c>
      <c r="O274" s="4" t="s">
        <v>2601</v>
      </c>
      <c r="P274" s="4" t="s">
        <v>2503</v>
      </c>
      <c r="Q274" s="4" t="s">
        <v>2504</v>
      </c>
      <c r="R274" s="4"/>
      <c r="S274" s="4"/>
      <c r="T274" s="4" t="str">
        <f>HYPERLINK("http://slimages.macys.com/is/image/MCY/1043865 ")</f>
        <v xml:space="preserve">http://slimages.macys.com/is/image/MCY/1043865 </v>
      </c>
    </row>
    <row r="275" spans="1:20" ht="15" customHeight="1" x14ac:dyDescent="0.25">
      <c r="A275" s="4" t="s">
        <v>2489</v>
      </c>
      <c r="B275" s="2" t="s">
        <v>2487</v>
      </c>
      <c r="C275" s="2" t="s">
        <v>2488</v>
      </c>
      <c r="D275" s="5" t="s">
        <v>2490</v>
      </c>
      <c r="E275" s="4" t="s">
        <v>2491</v>
      </c>
      <c r="F275" s="6">
        <v>14236763</v>
      </c>
      <c r="G275" s="3">
        <v>14236763</v>
      </c>
      <c r="H275" s="7">
        <v>733004398681</v>
      </c>
      <c r="I275" s="8" t="s">
        <v>925</v>
      </c>
      <c r="J275" s="4">
        <v>2</v>
      </c>
      <c r="K275" s="9">
        <v>21.99</v>
      </c>
      <c r="L275" s="9">
        <v>43.98</v>
      </c>
      <c r="M275" s="4" t="s">
        <v>1910</v>
      </c>
      <c r="N275" s="4" t="s">
        <v>2758</v>
      </c>
      <c r="O275" s="4" t="s">
        <v>2650</v>
      </c>
      <c r="P275" s="4" t="s">
        <v>2515</v>
      </c>
      <c r="Q275" s="4" t="s">
        <v>2672</v>
      </c>
      <c r="R275" s="4"/>
      <c r="S275" s="4"/>
      <c r="T275" s="4" t="str">
        <f>HYPERLINK("http://slimages.macys.com/is/image/MCY/20143304 ")</f>
        <v xml:space="preserve">http://slimages.macys.com/is/image/MCY/20143304 </v>
      </c>
    </row>
    <row r="276" spans="1:20" ht="15" customHeight="1" x14ac:dyDescent="0.25">
      <c r="A276" s="4" t="s">
        <v>2489</v>
      </c>
      <c r="B276" s="2" t="s">
        <v>2487</v>
      </c>
      <c r="C276" s="2" t="s">
        <v>2488</v>
      </c>
      <c r="D276" s="5" t="s">
        <v>2490</v>
      </c>
      <c r="E276" s="4" t="s">
        <v>2491</v>
      </c>
      <c r="F276" s="6">
        <v>14236763</v>
      </c>
      <c r="G276" s="3">
        <v>14236763</v>
      </c>
      <c r="H276" s="7">
        <v>733004729676</v>
      </c>
      <c r="I276" s="8" t="s">
        <v>926</v>
      </c>
      <c r="J276" s="4">
        <v>1</v>
      </c>
      <c r="K276" s="9">
        <v>23.99</v>
      </c>
      <c r="L276" s="9">
        <v>23.99</v>
      </c>
      <c r="M276" s="4" t="s">
        <v>2085</v>
      </c>
      <c r="N276" s="4" t="s">
        <v>2505</v>
      </c>
      <c r="O276" s="4" t="s">
        <v>2498</v>
      </c>
      <c r="P276" s="4" t="s">
        <v>2520</v>
      </c>
      <c r="Q276" s="4" t="s">
        <v>2521</v>
      </c>
      <c r="R276" s="4"/>
      <c r="S276" s="4"/>
      <c r="T276" s="4" t="str">
        <f>HYPERLINK("http://slimages.macys.com/is/image/MCY/20433729 ")</f>
        <v xml:space="preserve">http://slimages.macys.com/is/image/MCY/20433729 </v>
      </c>
    </row>
    <row r="277" spans="1:20" ht="15" customHeight="1" x14ac:dyDescent="0.25">
      <c r="A277" s="4" t="s">
        <v>2489</v>
      </c>
      <c r="B277" s="2" t="s">
        <v>2487</v>
      </c>
      <c r="C277" s="2" t="s">
        <v>2488</v>
      </c>
      <c r="D277" s="5" t="s">
        <v>2490</v>
      </c>
      <c r="E277" s="4" t="s">
        <v>2491</v>
      </c>
      <c r="F277" s="6">
        <v>14236763</v>
      </c>
      <c r="G277" s="3">
        <v>14236763</v>
      </c>
      <c r="H277" s="7">
        <v>194753985278</v>
      </c>
      <c r="I277" s="8" t="s">
        <v>927</v>
      </c>
      <c r="J277" s="4">
        <v>1</v>
      </c>
      <c r="K277" s="9">
        <v>54.5</v>
      </c>
      <c r="L277" s="9">
        <v>54.5</v>
      </c>
      <c r="M277" s="4" t="s">
        <v>2064</v>
      </c>
      <c r="N277" s="4" t="s">
        <v>2505</v>
      </c>
      <c r="O277" s="4" t="s">
        <v>2524</v>
      </c>
      <c r="P277" s="4" t="s">
        <v>2714</v>
      </c>
      <c r="Q277" s="4" t="s">
        <v>2715</v>
      </c>
      <c r="R277" s="4"/>
      <c r="S277" s="4"/>
      <c r="T277" s="4" t="str">
        <f>HYPERLINK("http://slimages.macys.com/is/image/MCY/20114280 ")</f>
        <v xml:space="preserve">http://slimages.macys.com/is/image/MCY/20114280 </v>
      </c>
    </row>
    <row r="278" spans="1:20" ht="15" customHeight="1" x14ac:dyDescent="0.25">
      <c r="A278" s="4" t="s">
        <v>2489</v>
      </c>
      <c r="B278" s="2" t="s">
        <v>2487</v>
      </c>
      <c r="C278" s="2" t="s">
        <v>2488</v>
      </c>
      <c r="D278" s="5" t="s">
        <v>2490</v>
      </c>
      <c r="E278" s="4" t="s">
        <v>2491</v>
      </c>
      <c r="F278" s="6">
        <v>14236763</v>
      </c>
      <c r="G278" s="3">
        <v>14236763</v>
      </c>
      <c r="H278" s="7">
        <v>733004591761</v>
      </c>
      <c r="I278" s="8" t="s">
        <v>1535</v>
      </c>
      <c r="J278" s="4">
        <v>2</v>
      </c>
      <c r="K278" s="9">
        <v>15.99</v>
      </c>
      <c r="L278" s="9">
        <v>31.98</v>
      </c>
      <c r="M278" s="4">
        <v>10013097200</v>
      </c>
      <c r="N278" s="4" t="s">
        <v>2600</v>
      </c>
      <c r="O278" s="4"/>
      <c r="P278" s="4" t="s">
        <v>2503</v>
      </c>
      <c r="Q278" s="4" t="s">
        <v>2504</v>
      </c>
      <c r="R278" s="4"/>
      <c r="S278" s="4"/>
      <c r="T278" s="4" t="str">
        <f>HYPERLINK("http://slimages.macys.com/is/image/MCY/19754163 ")</f>
        <v xml:space="preserve">http://slimages.macys.com/is/image/MCY/19754163 </v>
      </c>
    </row>
    <row r="279" spans="1:20" ht="15" customHeight="1" x14ac:dyDescent="0.25">
      <c r="A279" s="4" t="s">
        <v>2489</v>
      </c>
      <c r="B279" s="2" t="s">
        <v>2487</v>
      </c>
      <c r="C279" s="2" t="s">
        <v>2488</v>
      </c>
      <c r="D279" s="5" t="s">
        <v>2490</v>
      </c>
      <c r="E279" s="4" t="s">
        <v>2491</v>
      </c>
      <c r="F279" s="6">
        <v>14236763</v>
      </c>
      <c r="G279" s="3">
        <v>14236763</v>
      </c>
      <c r="H279" s="7">
        <v>733004297809</v>
      </c>
      <c r="I279" s="8" t="s">
        <v>1421</v>
      </c>
      <c r="J279" s="4">
        <v>1</v>
      </c>
      <c r="K279" s="9">
        <v>27.99</v>
      </c>
      <c r="L279" s="9">
        <v>27.99</v>
      </c>
      <c r="M279" s="4" t="s">
        <v>2949</v>
      </c>
      <c r="N279" s="4" t="s">
        <v>2561</v>
      </c>
      <c r="O279" s="4" t="s">
        <v>2498</v>
      </c>
      <c r="P279" s="4" t="s">
        <v>2515</v>
      </c>
      <c r="Q279" s="4" t="s">
        <v>2672</v>
      </c>
      <c r="R279" s="4"/>
      <c r="S279" s="4"/>
      <c r="T279" s="4" t="str">
        <f>HYPERLINK("http://slimages.macys.com/is/image/MCY/20143278 ")</f>
        <v xml:space="preserve">http://slimages.macys.com/is/image/MCY/20143278 </v>
      </c>
    </row>
    <row r="280" spans="1:20" ht="15" customHeight="1" x14ac:dyDescent="0.25">
      <c r="A280" s="4" t="s">
        <v>2489</v>
      </c>
      <c r="B280" s="2" t="s">
        <v>2487</v>
      </c>
      <c r="C280" s="2" t="s">
        <v>2488</v>
      </c>
      <c r="D280" s="5" t="s">
        <v>2490</v>
      </c>
      <c r="E280" s="4" t="s">
        <v>2491</v>
      </c>
      <c r="F280" s="6">
        <v>14236763</v>
      </c>
      <c r="G280" s="3">
        <v>14236763</v>
      </c>
      <c r="H280" s="7">
        <v>762120086424</v>
      </c>
      <c r="I280" s="8" t="s">
        <v>1829</v>
      </c>
      <c r="J280" s="4">
        <v>2</v>
      </c>
      <c r="K280" s="9">
        <v>7.99</v>
      </c>
      <c r="L280" s="9">
        <v>15.98</v>
      </c>
      <c r="M280" s="4" t="s">
        <v>1776</v>
      </c>
      <c r="N280" s="4" t="s">
        <v>2638</v>
      </c>
      <c r="O280" s="4" t="s">
        <v>2629</v>
      </c>
      <c r="P280" s="4" t="s">
        <v>2602</v>
      </c>
      <c r="Q280" s="4" t="s">
        <v>2528</v>
      </c>
      <c r="R280" s="4"/>
      <c r="S280" s="4"/>
      <c r="T280" s="4" t="str">
        <f>HYPERLINK("http://slimages.macys.com/is/image/MCY/1079693 ")</f>
        <v xml:space="preserve">http://slimages.macys.com/is/image/MCY/1079693 </v>
      </c>
    </row>
    <row r="281" spans="1:20" ht="15" customHeight="1" x14ac:dyDescent="0.25">
      <c r="A281" s="4" t="s">
        <v>2489</v>
      </c>
      <c r="B281" s="2" t="s">
        <v>2487</v>
      </c>
      <c r="C281" s="2" t="s">
        <v>2488</v>
      </c>
      <c r="D281" s="5" t="s">
        <v>2490</v>
      </c>
      <c r="E281" s="4" t="s">
        <v>2491</v>
      </c>
      <c r="F281" s="6">
        <v>14236763</v>
      </c>
      <c r="G281" s="3">
        <v>14236763</v>
      </c>
      <c r="H281" s="7">
        <v>762120162418</v>
      </c>
      <c r="I281" s="8" t="s">
        <v>2039</v>
      </c>
      <c r="J281" s="4">
        <v>1</v>
      </c>
      <c r="K281" s="9">
        <v>7.99</v>
      </c>
      <c r="L281" s="9">
        <v>7.99</v>
      </c>
      <c r="M281" s="4" t="s">
        <v>2033</v>
      </c>
      <c r="N281" s="4" t="s">
        <v>2632</v>
      </c>
      <c r="O281" s="4" t="s">
        <v>2650</v>
      </c>
      <c r="P281" s="4" t="s">
        <v>2602</v>
      </c>
      <c r="Q281" s="4" t="s">
        <v>2528</v>
      </c>
      <c r="R281" s="4"/>
      <c r="S281" s="4"/>
      <c r="T281" s="4" t="str">
        <f>HYPERLINK("http://slimages.macys.com/is/image/MCY/20819687 ")</f>
        <v xml:space="preserve">http://slimages.macys.com/is/image/MCY/20819687 </v>
      </c>
    </row>
    <row r="282" spans="1:20" ht="15" customHeight="1" x14ac:dyDescent="0.25">
      <c r="A282" s="4" t="s">
        <v>2489</v>
      </c>
      <c r="B282" s="2" t="s">
        <v>2487</v>
      </c>
      <c r="C282" s="2" t="s">
        <v>2488</v>
      </c>
      <c r="D282" s="5" t="s">
        <v>2490</v>
      </c>
      <c r="E282" s="4" t="s">
        <v>2491</v>
      </c>
      <c r="F282" s="6">
        <v>14236763</v>
      </c>
      <c r="G282" s="3">
        <v>14236763</v>
      </c>
      <c r="H282" s="7">
        <v>733004290770</v>
      </c>
      <c r="I282" s="8" t="s">
        <v>928</v>
      </c>
      <c r="J282" s="4">
        <v>1</v>
      </c>
      <c r="K282" s="9">
        <v>7.99</v>
      </c>
      <c r="L282" s="9">
        <v>7.99</v>
      </c>
      <c r="M282" s="4" t="s">
        <v>929</v>
      </c>
      <c r="N282" s="4" t="s">
        <v>2600</v>
      </c>
      <c r="O282" s="4" t="s">
        <v>2628</v>
      </c>
      <c r="P282" s="4" t="s">
        <v>2503</v>
      </c>
      <c r="Q282" s="4" t="s">
        <v>2504</v>
      </c>
      <c r="R282" s="4"/>
      <c r="S282" s="4"/>
      <c r="T282" s="4" t="str">
        <f>HYPERLINK("http://slimages.macys.com/is/image/MCY/19746547 ")</f>
        <v xml:space="preserve">http://slimages.macys.com/is/image/MCY/19746547 </v>
      </c>
    </row>
    <row r="283" spans="1:20" ht="15" customHeight="1" x14ac:dyDescent="0.25">
      <c r="A283" s="4" t="s">
        <v>2489</v>
      </c>
      <c r="B283" s="2" t="s">
        <v>2487</v>
      </c>
      <c r="C283" s="2" t="s">
        <v>2488</v>
      </c>
      <c r="D283" s="5" t="s">
        <v>2490</v>
      </c>
      <c r="E283" s="4" t="s">
        <v>2491</v>
      </c>
      <c r="F283" s="6">
        <v>14236763</v>
      </c>
      <c r="G283" s="3">
        <v>14236763</v>
      </c>
      <c r="H283" s="7">
        <v>733004920028</v>
      </c>
      <c r="I283" s="8" t="s">
        <v>2067</v>
      </c>
      <c r="J283" s="4">
        <v>1</v>
      </c>
      <c r="K283" s="9">
        <v>7.99</v>
      </c>
      <c r="L283" s="9">
        <v>7.99</v>
      </c>
      <c r="M283" s="4" t="s">
        <v>3353</v>
      </c>
      <c r="N283" s="4" t="s">
        <v>2501</v>
      </c>
      <c r="O283" s="4" t="s">
        <v>2650</v>
      </c>
      <c r="P283" s="4" t="s">
        <v>2503</v>
      </c>
      <c r="Q283" s="4" t="s">
        <v>2504</v>
      </c>
      <c r="R283" s="4"/>
      <c r="S283" s="4"/>
      <c r="T283" s="4" t="str">
        <f>HYPERLINK("http://slimages.macys.com/is/image/MCY/19977826 ")</f>
        <v xml:space="preserve">http://slimages.macys.com/is/image/MCY/19977826 </v>
      </c>
    </row>
    <row r="284" spans="1:20" ht="15" customHeight="1" x14ac:dyDescent="0.25">
      <c r="A284" s="4" t="s">
        <v>2489</v>
      </c>
      <c r="B284" s="2" t="s">
        <v>2487</v>
      </c>
      <c r="C284" s="2" t="s">
        <v>2488</v>
      </c>
      <c r="D284" s="5" t="s">
        <v>2490</v>
      </c>
      <c r="E284" s="4" t="s">
        <v>2491</v>
      </c>
      <c r="F284" s="6">
        <v>14236763</v>
      </c>
      <c r="G284" s="3">
        <v>14236763</v>
      </c>
      <c r="H284" s="7">
        <v>733004779107</v>
      </c>
      <c r="I284" s="8" t="s">
        <v>3313</v>
      </c>
      <c r="J284" s="4">
        <v>1</v>
      </c>
      <c r="K284" s="9">
        <v>7.99</v>
      </c>
      <c r="L284" s="9">
        <v>7.99</v>
      </c>
      <c r="M284" s="4" t="s">
        <v>2719</v>
      </c>
      <c r="N284" s="4" t="s">
        <v>2565</v>
      </c>
      <c r="O284" s="4" t="s">
        <v>2629</v>
      </c>
      <c r="P284" s="4" t="s">
        <v>2602</v>
      </c>
      <c r="Q284" s="4" t="s">
        <v>2528</v>
      </c>
      <c r="R284" s="4"/>
      <c r="S284" s="4"/>
      <c r="T284" s="4" t="str">
        <f>HYPERLINK("http://slimages.macys.com/is/image/MCY/20450156 ")</f>
        <v xml:space="preserve">http://slimages.macys.com/is/image/MCY/20450156 </v>
      </c>
    </row>
    <row r="285" spans="1:20" ht="15" customHeight="1" x14ac:dyDescent="0.25">
      <c r="A285" s="4" t="s">
        <v>2489</v>
      </c>
      <c r="B285" s="2" t="s">
        <v>2487</v>
      </c>
      <c r="C285" s="2" t="s">
        <v>2488</v>
      </c>
      <c r="D285" s="5" t="s">
        <v>2490</v>
      </c>
      <c r="E285" s="4" t="s">
        <v>2491</v>
      </c>
      <c r="F285" s="6">
        <v>14236763</v>
      </c>
      <c r="G285" s="3">
        <v>14236763</v>
      </c>
      <c r="H285" s="7">
        <v>733004780196</v>
      </c>
      <c r="I285" s="8" t="s">
        <v>3148</v>
      </c>
      <c r="J285" s="4">
        <v>1</v>
      </c>
      <c r="K285" s="9">
        <v>7.99</v>
      </c>
      <c r="L285" s="9">
        <v>7.99</v>
      </c>
      <c r="M285" s="4" t="s">
        <v>3149</v>
      </c>
      <c r="N285" s="4" t="s">
        <v>2638</v>
      </c>
      <c r="O285" s="4" t="s">
        <v>2650</v>
      </c>
      <c r="P285" s="4" t="s">
        <v>2602</v>
      </c>
      <c r="Q285" s="4" t="s">
        <v>2528</v>
      </c>
      <c r="R285" s="4"/>
      <c r="S285" s="4"/>
      <c r="T285" s="4" t="str">
        <f>HYPERLINK("http://slimages.macys.com/is/image/MCY/20450168 ")</f>
        <v xml:space="preserve">http://slimages.macys.com/is/image/MCY/20450168 </v>
      </c>
    </row>
    <row r="286" spans="1:20" ht="15" customHeight="1" x14ac:dyDescent="0.25">
      <c r="A286" s="4" t="s">
        <v>2489</v>
      </c>
      <c r="B286" s="2" t="s">
        <v>2487</v>
      </c>
      <c r="C286" s="2" t="s">
        <v>2488</v>
      </c>
      <c r="D286" s="5" t="s">
        <v>2490</v>
      </c>
      <c r="E286" s="4" t="s">
        <v>2491</v>
      </c>
      <c r="F286" s="6">
        <v>14236763</v>
      </c>
      <c r="G286" s="3">
        <v>14236763</v>
      </c>
      <c r="H286" s="7">
        <v>733003644161</v>
      </c>
      <c r="I286" s="8" t="s">
        <v>1977</v>
      </c>
      <c r="J286" s="4">
        <v>2</v>
      </c>
      <c r="K286" s="9">
        <v>15.99</v>
      </c>
      <c r="L286" s="9">
        <v>31.98</v>
      </c>
      <c r="M286" s="4" t="s">
        <v>2998</v>
      </c>
      <c r="N286" s="4" t="s">
        <v>2514</v>
      </c>
      <c r="O286" s="4">
        <v>6</v>
      </c>
      <c r="P286" s="4" t="s">
        <v>2515</v>
      </c>
      <c r="Q286" s="4" t="s">
        <v>2972</v>
      </c>
      <c r="R286" s="4"/>
      <c r="S286" s="4"/>
      <c r="T286" s="4" t="str">
        <f>HYPERLINK("http://slimages.macys.com/is/image/MCY/20008061 ")</f>
        <v xml:space="preserve">http://slimages.macys.com/is/image/MCY/20008061 </v>
      </c>
    </row>
    <row r="287" spans="1:20" ht="15" customHeight="1" x14ac:dyDescent="0.25">
      <c r="A287" s="4" t="s">
        <v>2489</v>
      </c>
      <c r="B287" s="2" t="s">
        <v>2487</v>
      </c>
      <c r="C287" s="2" t="s">
        <v>2488</v>
      </c>
      <c r="D287" s="5" t="s">
        <v>2490</v>
      </c>
      <c r="E287" s="4" t="s">
        <v>2491</v>
      </c>
      <c r="F287" s="6">
        <v>14236763</v>
      </c>
      <c r="G287" s="3">
        <v>14236763</v>
      </c>
      <c r="H287" s="7">
        <v>733004782725</v>
      </c>
      <c r="I287" s="8" t="s">
        <v>1715</v>
      </c>
      <c r="J287" s="4">
        <v>1</v>
      </c>
      <c r="K287" s="9">
        <v>7.99</v>
      </c>
      <c r="L287" s="9">
        <v>7.99</v>
      </c>
      <c r="M287" s="4" t="s">
        <v>1810</v>
      </c>
      <c r="N287" s="4" t="s">
        <v>2561</v>
      </c>
      <c r="O287" s="4">
        <v>6</v>
      </c>
      <c r="P287" s="4" t="s">
        <v>2602</v>
      </c>
      <c r="Q287" s="4" t="s">
        <v>2528</v>
      </c>
      <c r="R287" s="4"/>
      <c r="S287" s="4"/>
      <c r="T287" s="4" t="str">
        <f>HYPERLINK("http://slimages.macys.com/is/image/MCY/20450194 ")</f>
        <v xml:space="preserve">http://slimages.macys.com/is/image/MCY/20450194 </v>
      </c>
    </row>
    <row r="288" spans="1:20" ht="15" customHeight="1" x14ac:dyDescent="0.25">
      <c r="A288" s="4" t="s">
        <v>2489</v>
      </c>
      <c r="B288" s="2" t="s">
        <v>2487</v>
      </c>
      <c r="C288" s="2" t="s">
        <v>2488</v>
      </c>
      <c r="D288" s="5" t="s">
        <v>2490</v>
      </c>
      <c r="E288" s="4" t="s">
        <v>2491</v>
      </c>
      <c r="F288" s="6">
        <v>14236763</v>
      </c>
      <c r="G288" s="3">
        <v>14236763</v>
      </c>
      <c r="H288" s="7">
        <v>733004085864</v>
      </c>
      <c r="I288" s="8" t="s">
        <v>1879</v>
      </c>
      <c r="J288" s="4">
        <v>1</v>
      </c>
      <c r="K288" s="9">
        <v>21.99</v>
      </c>
      <c r="L288" s="9">
        <v>21.99</v>
      </c>
      <c r="M288" s="4" t="s">
        <v>2842</v>
      </c>
      <c r="N288" s="4" t="s">
        <v>2514</v>
      </c>
      <c r="O288" s="4" t="s">
        <v>2671</v>
      </c>
      <c r="P288" s="4" t="s">
        <v>2543</v>
      </c>
      <c r="Q288" s="4" t="s">
        <v>2528</v>
      </c>
      <c r="R288" s="4"/>
      <c r="S288" s="4"/>
      <c r="T288" s="4" t="str">
        <f>HYPERLINK("http://slimages.macys.com/is/image/MCY/19988442 ")</f>
        <v xml:space="preserve">http://slimages.macys.com/is/image/MCY/19988442 </v>
      </c>
    </row>
    <row r="289" spans="1:20" ht="15" customHeight="1" x14ac:dyDescent="0.25">
      <c r="A289" s="4" t="s">
        <v>2489</v>
      </c>
      <c r="B289" s="2" t="s">
        <v>2487</v>
      </c>
      <c r="C289" s="2" t="s">
        <v>2488</v>
      </c>
      <c r="D289" s="5" t="s">
        <v>2490</v>
      </c>
      <c r="E289" s="4" t="s">
        <v>2491</v>
      </c>
      <c r="F289" s="6">
        <v>14236763</v>
      </c>
      <c r="G289" s="3">
        <v>14236763</v>
      </c>
      <c r="H289" s="7">
        <v>762120084581</v>
      </c>
      <c r="I289" s="8" t="s">
        <v>2857</v>
      </c>
      <c r="J289" s="4">
        <v>1</v>
      </c>
      <c r="K289" s="9">
        <v>7.99</v>
      </c>
      <c r="L289" s="9">
        <v>7.99</v>
      </c>
      <c r="M289" s="4" t="s">
        <v>2858</v>
      </c>
      <c r="N289" s="4" t="s">
        <v>2530</v>
      </c>
      <c r="O289" s="4" t="s">
        <v>2628</v>
      </c>
      <c r="P289" s="4" t="s">
        <v>2602</v>
      </c>
      <c r="Q289" s="4" t="s">
        <v>2528</v>
      </c>
      <c r="R289" s="4"/>
      <c r="S289" s="4"/>
      <c r="T289" s="4" t="str">
        <f>HYPERLINK("http://slimages.macys.com/is/image/MCY/20691772 ")</f>
        <v xml:space="preserve">http://slimages.macys.com/is/image/MCY/20691772 </v>
      </c>
    </row>
    <row r="290" spans="1:20" ht="15" customHeight="1" x14ac:dyDescent="0.25">
      <c r="A290" s="4" t="s">
        <v>2489</v>
      </c>
      <c r="B290" s="2" t="s">
        <v>2487</v>
      </c>
      <c r="C290" s="2" t="s">
        <v>2488</v>
      </c>
      <c r="D290" s="5" t="s">
        <v>2490</v>
      </c>
      <c r="E290" s="4" t="s">
        <v>2491</v>
      </c>
      <c r="F290" s="6">
        <v>14236763</v>
      </c>
      <c r="G290" s="3">
        <v>14236763</v>
      </c>
      <c r="H290" s="7">
        <v>733003920623</v>
      </c>
      <c r="I290" s="8" t="s">
        <v>2798</v>
      </c>
      <c r="J290" s="4">
        <v>1</v>
      </c>
      <c r="K290" s="9">
        <v>7.99</v>
      </c>
      <c r="L290" s="9">
        <v>7.99</v>
      </c>
      <c r="M290" s="4" t="s">
        <v>2799</v>
      </c>
      <c r="N290" s="4" t="s">
        <v>2501</v>
      </c>
      <c r="O290" s="4" t="s">
        <v>2650</v>
      </c>
      <c r="P290" s="4" t="s">
        <v>2503</v>
      </c>
      <c r="Q290" s="4" t="s">
        <v>2504</v>
      </c>
      <c r="R290" s="4"/>
      <c r="S290" s="4"/>
      <c r="T290" s="4" t="str">
        <f>HYPERLINK("http://slimages.macys.com/is/image/MCY/19507685 ")</f>
        <v xml:space="preserve">http://slimages.macys.com/is/image/MCY/19507685 </v>
      </c>
    </row>
    <row r="291" spans="1:20" ht="15" customHeight="1" x14ac:dyDescent="0.25">
      <c r="A291" s="4" t="s">
        <v>2489</v>
      </c>
      <c r="B291" s="2" t="s">
        <v>2487</v>
      </c>
      <c r="C291" s="2" t="s">
        <v>2488</v>
      </c>
      <c r="D291" s="5" t="s">
        <v>2490</v>
      </c>
      <c r="E291" s="4" t="s">
        <v>2491</v>
      </c>
      <c r="F291" s="6">
        <v>14236763</v>
      </c>
      <c r="G291" s="3">
        <v>14236763</v>
      </c>
      <c r="H291" s="7">
        <v>762120216340</v>
      </c>
      <c r="I291" s="8" t="s">
        <v>1870</v>
      </c>
      <c r="J291" s="4">
        <v>1</v>
      </c>
      <c r="K291" s="9">
        <v>21.99</v>
      </c>
      <c r="L291" s="9">
        <v>21.99</v>
      </c>
      <c r="M291" s="4" t="s">
        <v>2994</v>
      </c>
      <c r="N291" s="4" t="s">
        <v>2565</v>
      </c>
      <c r="O291" s="4" t="s">
        <v>2498</v>
      </c>
      <c r="P291" s="4" t="s">
        <v>2515</v>
      </c>
      <c r="Q291" s="4" t="s">
        <v>2672</v>
      </c>
      <c r="R291" s="4"/>
      <c r="S291" s="4"/>
      <c r="T291" s="4" t="str">
        <f>HYPERLINK("http://slimages.macys.com/is/image/MCY/20411699 ")</f>
        <v xml:space="preserve">http://slimages.macys.com/is/image/MCY/20411699 </v>
      </c>
    </row>
    <row r="292" spans="1:20" ht="15" customHeight="1" x14ac:dyDescent="0.25">
      <c r="A292" s="4" t="s">
        <v>2489</v>
      </c>
      <c r="B292" s="2" t="s">
        <v>2487</v>
      </c>
      <c r="C292" s="2" t="s">
        <v>2488</v>
      </c>
      <c r="D292" s="5" t="s">
        <v>2490</v>
      </c>
      <c r="E292" s="4" t="s">
        <v>2491</v>
      </c>
      <c r="F292" s="6">
        <v>14236763</v>
      </c>
      <c r="G292" s="3">
        <v>14236763</v>
      </c>
      <c r="H292" s="7">
        <v>762120216333</v>
      </c>
      <c r="I292" s="8" t="s">
        <v>1896</v>
      </c>
      <c r="J292" s="4">
        <v>2</v>
      </c>
      <c r="K292" s="9">
        <v>21.99</v>
      </c>
      <c r="L292" s="9">
        <v>43.98</v>
      </c>
      <c r="M292" s="4" t="s">
        <v>2994</v>
      </c>
      <c r="N292" s="4" t="s">
        <v>2565</v>
      </c>
      <c r="O292" s="4" t="s">
        <v>2555</v>
      </c>
      <c r="P292" s="4" t="s">
        <v>2515</v>
      </c>
      <c r="Q292" s="4" t="s">
        <v>2672</v>
      </c>
      <c r="R292" s="4"/>
      <c r="S292" s="4"/>
      <c r="T292" s="4" t="str">
        <f>HYPERLINK("http://slimages.macys.com/is/image/MCY/20411699 ")</f>
        <v xml:space="preserve">http://slimages.macys.com/is/image/MCY/20411699 </v>
      </c>
    </row>
    <row r="293" spans="1:20" ht="15" customHeight="1" x14ac:dyDescent="0.25">
      <c r="A293" s="4" t="s">
        <v>2489</v>
      </c>
      <c r="B293" s="2" t="s">
        <v>2487</v>
      </c>
      <c r="C293" s="2" t="s">
        <v>2488</v>
      </c>
      <c r="D293" s="5" t="s">
        <v>2490</v>
      </c>
      <c r="E293" s="4" t="s">
        <v>2491</v>
      </c>
      <c r="F293" s="6">
        <v>14236763</v>
      </c>
      <c r="G293" s="3">
        <v>14236763</v>
      </c>
      <c r="H293" s="7">
        <v>733004780097</v>
      </c>
      <c r="I293" s="8" t="s">
        <v>3218</v>
      </c>
      <c r="J293" s="4">
        <v>1</v>
      </c>
      <c r="K293" s="9">
        <v>7.99</v>
      </c>
      <c r="L293" s="9">
        <v>7.99</v>
      </c>
      <c r="M293" s="4" t="s">
        <v>2692</v>
      </c>
      <c r="N293" s="4" t="s">
        <v>2501</v>
      </c>
      <c r="O293" s="4" t="s">
        <v>2628</v>
      </c>
      <c r="P293" s="4" t="s">
        <v>2602</v>
      </c>
      <c r="Q293" s="4" t="s">
        <v>2528</v>
      </c>
      <c r="R293" s="4"/>
      <c r="S293" s="4"/>
      <c r="T293" s="4" t="str">
        <f>HYPERLINK("http://slimages.macys.com/is/image/MCY/20450163 ")</f>
        <v xml:space="preserve">http://slimages.macys.com/is/image/MCY/20450163 </v>
      </c>
    </row>
    <row r="294" spans="1:20" ht="15" customHeight="1" x14ac:dyDescent="0.25">
      <c r="A294" s="4" t="s">
        <v>2489</v>
      </c>
      <c r="B294" s="2" t="s">
        <v>2487</v>
      </c>
      <c r="C294" s="2" t="s">
        <v>2488</v>
      </c>
      <c r="D294" s="5" t="s">
        <v>2490</v>
      </c>
      <c r="E294" s="4" t="s">
        <v>2491</v>
      </c>
      <c r="F294" s="6">
        <v>14236763</v>
      </c>
      <c r="G294" s="3">
        <v>14236763</v>
      </c>
      <c r="H294" s="7">
        <v>762120216241</v>
      </c>
      <c r="I294" s="8" t="s">
        <v>1993</v>
      </c>
      <c r="J294" s="4">
        <v>1</v>
      </c>
      <c r="K294" s="9">
        <v>21.99</v>
      </c>
      <c r="L294" s="9">
        <v>21.99</v>
      </c>
      <c r="M294" s="4" t="s">
        <v>2994</v>
      </c>
      <c r="N294" s="4" t="s">
        <v>2565</v>
      </c>
      <c r="O294" s="4" t="s">
        <v>2519</v>
      </c>
      <c r="P294" s="4" t="s">
        <v>2515</v>
      </c>
      <c r="Q294" s="4" t="s">
        <v>2672</v>
      </c>
      <c r="R294" s="4"/>
      <c r="S294" s="4"/>
      <c r="T294" s="4" t="str">
        <f>HYPERLINK("http://slimages.macys.com/is/image/MCY/20411699 ")</f>
        <v xml:space="preserve">http://slimages.macys.com/is/image/MCY/20411699 </v>
      </c>
    </row>
    <row r="295" spans="1:20" ht="15" customHeight="1" x14ac:dyDescent="0.25">
      <c r="A295" s="4" t="s">
        <v>2489</v>
      </c>
      <c r="B295" s="2" t="s">
        <v>2487</v>
      </c>
      <c r="C295" s="2" t="s">
        <v>2488</v>
      </c>
      <c r="D295" s="5" t="s">
        <v>2490</v>
      </c>
      <c r="E295" s="4" t="s">
        <v>2491</v>
      </c>
      <c r="F295" s="6">
        <v>14236763</v>
      </c>
      <c r="G295" s="3">
        <v>14236763</v>
      </c>
      <c r="H295" s="7">
        <v>733003643676</v>
      </c>
      <c r="I295" s="8" t="s">
        <v>1783</v>
      </c>
      <c r="J295" s="4">
        <v>2</v>
      </c>
      <c r="K295" s="9">
        <v>18.989999999999998</v>
      </c>
      <c r="L295" s="9">
        <v>37.979999999999997</v>
      </c>
      <c r="M295" s="4" t="s">
        <v>2984</v>
      </c>
      <c r="N295" s="4" t="s">
        <v>2561</v>
      </c>
      <c r="O295" s="4" t="s">
        <v>2629</v>
      </c>
      <c r="P295" s="4" t="s">
        <v>2515</v>
      </c>
      <c r="Q295" s="4" t="s">
        <v>2972</v>
      </c>
      <c r="R295" s="4"/>
      <c r="S295" s="4"/>
      <c r="T295" s="4" t="str">
        <f>HYPERLINK("http://slimages.macys.com/is/image/MCY/20008204 ")</f>
        <v xml:space="preserve">http://slimages.macys.com/is/image/MCY/20008204 </v>
      </c>
    </row>
    <row r="296" spans="1:20" ht="15" customHeight="1" x14ac:dyDescent="0.25">
      <c r="A296" s="4" t="s">
        <v>2489</v>
      </c>
      <c r="B296" s="2" t="s">
        <v>2487</v>
      </c>
      <c r="C296" s="2" t="s">
        <v>2488</v>
      </c>
      <c r="D296" s="5" t="s">
        <v>2490</v>
      </c>
      <c r="E296" s="4" t="s">
        <v>2491</v>
      </c>
      <c r="F296" s="6">
        <v>14236763</v>
      </c>
      <c r="G296" s="3">
        <v>14236763</v>
      </c>
      <c r="H296" s="7">
        <v>733004763229</v>
      </c>
      <c r="I296" s="8" t="s">
        <v>930</v>
      </c>
      <c r="J296" s="4">
        <v>1</v>
      </c>
      <c r="K296" s="9">
        <v>19.989999999999998</v>
      </c>
      <c r="L296" s="9">
        <v>19.989999999999998</v>
      </c>
      <c r="M296" s="4" t="s">
        <v>1983</v>
      </c>
      <c r="N296" s="4" t="s">
        <v>2561</v>
      </c>
      <c r="O296" s="4" t="s">
        <v>2629</v>
      </c>
      <c r="P296" s="4" t="s">
        <v>2515</v>
      </c>
      <c r="Q296" s="4" t="s">
        <v>2672</v>
      </c>
      <c r="R296" s="4"/>
      <c r="S296" s="4"/>
      <c r="T296" s="4" t="str">
        <f>HYPERLINK("http://slimages.macys.com/is/image/MCY/20530633 ")</f>
        <v xml:space="preserve">http://slimages.macys.com/is/image/MCY/20530633 </v>
      </c>
    </row>
    <row r="297" spans="1:20" ht="15" customHeight="1" x14ac:dyDescent="0.25">
      <c r="A297" s="4" t="s">
        <v>2489</v>
      </c>
      <c r="B297" s="2" t="s">
        <v>2487</v>
      </c>
      <c r="C297" s="2" t="s">
        <v>2488</v>
      </c>
      <c r="D297" s="5" t="s">
        <v>2490</v>
      </c>
      <c r="E297" s="4" t="s">
        <v>2491</v>
      </c>
      <c r="F297" s="6">
        <v>14236763</v>
      </c>
      <c r="G297" s="3">
        <v>14236763</v>
      </c>
      <c r="H297" s="7">
        <v>733004040139</v>
      </c>
      <c r="I297" s="8" t="s">
        <v>931</v>
      </c>
      <c r="J297" s="4">
        <v>1</v>
      </c>
      <c r="K297" s="9">
        <v>12.99</v>
      </c>
      <c r="L297" s="9">
        <v>12.99</v>
      </c>
      <c r="M297" s="4" t="s">
        <v>2724</v>
      </c>
      <c r="N297" s="4" t="s">
        <v>2632</v>
      </c>
      <c r="O297" s="4" t="s">
        <v>2650</v>
      </c>
      <c r="P297" s="4" t="s">
        <v>2602</v>
      </c>
      <c r="Q297" s="4" t="s">
        <v>2528</v>
      </c>
      <c r="R297" s="4"/>
      <c r="S297" s="4"/>
      <c r="T297" s="4" t="str">
        <f>HYPERLINK("http://slimages.macys.com/is/image/MCY/19944389 ")</f>
        <v xml:space="preserve">http://slimages.macys.com/is/image/MCY/19944389 </v>
      </c>
    </row>
    <row r="298" spans="1:20" ht="15" customHeight="1" x14ac:dyDescent="0.25">
      <c r="A298" s="4" t="s">
        <v>2489</v>
      </c>
      <c r="B298" s="2" t="s">
        <v>2487</v>
      </c>
      <c r="C298" s="2" t="s">
        <v>2488</v>
      </c>
      <c r="D298" s="5" t="s">
        <v>2490</v>
      </c>
      <c r="E298" s="4" t="s">
        <v>2491</v>
      </c>
      <c r="F298" s="6">
        <v>14236763</v>
      </c>
      <c r="G298" s="3">
        <v>14236763</v>
      </c>
      <c r="H298" s="7">
        <v>762120162456</v>
      </c>
      <c r="I298" s="8" t="s">
        <v>3211</v>
      </c>
      <c r="J298" s="4">
        <v>1</v>
      </c>
      <c r="K298" s="9">
        <v>7.99</v>
      </c>
      <c r="L298" s="9">
        <v>7.99</v>
      </c>
      <c r="M298" s="4" t="s">
        <v>3141</v>
      </c>
      <c r="N298" s="4" t="s">
        <v>2632</v>
      </c>
      <c r="O298" s="4">
        <v>5</v>
      </c>
      <c r="P298" s="4" t="s">
        <v>2602</v>
      </c>
      <c r="Q298" s="4" t="s">
        <v>2528</v>
      </c>
      <c r="R298" s="4"/>
      <c r="S298" s="4"/>
      <c r="T298" s="4" t="str">
        <f>HYPERLINK("http://slimages.macys.com/is/image/MCY/20819689 ")</f>
        <v xml:space="preserve">http://slimages.macys.com/is/image/MCY/20819689 </v>
      </c>
    </row>
    <row r="299" spans="1:20" ht="15" customHeight="1" x14ac:dyDescent="0.25">
      <c r="A299" s="4" t="s">
        <v>2489</v>
      </c>
      <c r="B299" s="2" t="s">
        <v>2487</v>
      </c>
      <c r="C299" s="2" t="s">
        <v>2488</v>
      </c>
      <c r="D299" s="5" t="s">
        <v>2490</v>
      </c>
      <c r="E299" s="4" t="s">
        <v>2491</v>
      </c>
      <c r="F299" s="6">
        <v>14236763</v>
      </c>
      <c r="G299" s="3">
        <v>14236763</v>
      </c>
      <c r="H299" s="7">
        <v>766370084803</v>
      </c>
      <c r="I299" s="8" t="s">
        <v>932</v>
      </c>
      <c r="J299" s="4">
        <v>1</v>
      </c>
      <c r="K299" s="9">
        <v>24.99</v>
      </c>
      <c r="L299" s="9">
        <v>24.99</v>
      </c>
      <c r="M299" s="4" t="s">
        <v>1116</v>
      </c>
      <c r="N299" s="4" t="s">
        <v>2567</v>
      </c>
      <c r="O299" s="4">
        <v>5</v>
      </c>
      <c r="P299" s="4" t="s">
        <v>2520</v>
      </c>
      <c r="Q299" s="4" t="s">
        <v>2528</v>
      </c>
      <c r="R299" s="4"/>
      <c r="S299" s="4"/>
      <c r="T299" s="4" t="str">
        <f>HYPERLINK("http://slimages.macys.com/is/image/MCY/21265959 ")</f>
        <v xml:space="preserve">http://slimages.macys.com/is/image/MCY/21265959 </v>
      </c>
    </row>
    <row r="300" spans="1:20" ht="15" customHeight="1" x14ac:dyDescent="0.25">
      <c r="A300" s="4" t="s">
        <v>2489</v>
      </c>
      <c r="B300" s="2" t="s">
        <v>2487</v>
      </c>
      <c r="C300" s="2" t="s">
        <v>2488</v>
      </c>
      <c r="D300" s="5" t="s">
        <v>2490</v>
      </c>
      <c r="E300" s="4" t="s">
        <v>2491</v>
      </c>
      <c r="F300" s="6">
        <v>14236763</v>
      </c>
      <c r="G300" s="3">
        <v>14236763</v>
      </c>
      <c r="H300" s="7">
        <v>195883345673</v>
      </c>
      <c r="I300" s="8" t="s">
        <v>761</v>
      </c>
      <c r="J300" s="4">
        <v>1</v>
      </c>
      <c r="K300" s="9">
        <v>9.99</v>
      </c>
      <c r="L300" s="9">
        <v>9.99</v>
      </c>
      <c r="M300" s="4" t="s">
        <v>762</v>
      </c>
      <c r="N300" s="4" t="s">
        <v>2505</v>
      </c>
      <c r="O300" s="4" t="s">
        <v>2498</v>
      </c>
      <c r="P300" s="4" t="s">
        <v>2556</v>
      </c>
      <c r="Q300" s="4" t="s">
        <v>2527</v>
      </c>
      <c r="R300" s="4"/>
      <c r="S300" s="4"/>
      <c r="T300" s="4" t="str">
        <f>HYPERLINK("http://slimages.macys.com/is/image/MCY/20200673 ")</f>
        <v xml:space="preserve">http://slimages.macys.com/is/image/MCY/20200673 </v>
      </c>
    </row>
    <row r="301" spans="1:20" ht="15" customHeight="1" x14ac:dyDescent="0.25">
      <c r="A301" s="4" t="s">
        <v>2489</v>
      </c>
      <c r="B301" s="2" t="s">
        <v>2487</v>
      </c>
      <c r="C301" s="2" t="s">
        <v>2488</v>
      </c>
      <c r="D301" s="5" t="s">
        <v>2490</v>
      </c>
      <c r="E301" s="4" t="s">
        <v>2491</v>
      </c>
      <c r="F301" s="6">
        <v>14236763</v>
      </c>
      <c r="G301" s="3">
        <v>14236763</v>
      </c>
      <c r="H301" s="7">
        <v>195883641997</v>
      </c>
      <c r="I301" s="8" t="s">
        <v>933</v>
      </c>
      <c r="J301" s="4">
        <v>1</v>
      </c>
      <c r="K301" s="9">
        <v>7.99</v>
      </c>
      <c r="L301" s="9">
        <v>7.99</v>
      </c>
      <c r="M301" s="4" t="s">
        <v>1834</v>
      </c>
      <c r="N301" s="4" t="s">
        <v>2505</v>
      </c>
      <c r="O301" s="4">
        <v>6</v>
      </c>
      <c r="P301" s="4" t="s">
        <v>2506</v>
      </c>
      <c r="Q301" s="4" t="s">
        <v>2527</v>
      </c>
      <c r="R301" s="4"/>
      <c r="S301" s="4"/>
      <c r="T301" s="4" t="str">
        <f>HYPERLINK("http://slimages.macys.com/is/image/MCY/20726206 ")</f>
        <v xml:space="preserve">http://slimages.macys.com/is/image/MCY/20726206 </v>
      </c>
    </row>
    <row r="302" spans="1:20" ht="15" customHeight="1" x14ac:dyDescent="0.25">
      <c r="A302" s="4" t="s">
        <v>2489</v>
      </c>
      <c r="B302" s="2" t="s">
        <v>2487</v>
      </c>
      <c r="C302" s="2" t="s">
        <v>2488</v>
      </c>
      <c r="D302" s="5" t="s">
        <v>2490</v>
      </c>
      <c r="E302" s="4" t="s">
        <v>2491</v>
      </c>
      <c r="F302" s="6">
        <v>14236763</v>
      </c>
      <c r="G302" s="3">
        <v>14236763</v>
      </c>
      <c r="H302" s="7">
        <v>195883642222</v>
      </c>
      <c r="I302" s="8" t="s">
        <v>934</v>
      </c>
      <c r="J302" s="4">
        <v>1</v>
      </c>
      <c r="K302" s="9">
        <v>7.99</v>
      </c>
      <c r="L302" s="9">
        <v>7.99</v>
      </c>
      <c r="M302" s="4" t="s">
        <v>2808</v>
      </c>
      <c r="N302" s="4" t="s">
        <v>2664</v>
      </c>
      <c r="O302" s="4">
        <v>5</v>
      </c>
      <c r="P302" s="4" t="s">
        <v>2506</v>
      </c>
      <c r="Q302" s="4" t="s">
        <v>2527</v>
      </c>
      <c r="R302" s="4"/>
      <c r="S302" s="4"/>
      <c r="T302" s="4" t="str">
        <f>HYPERLINK("http://slimages.macys.com/is/image/MCY/20726218 ")</f>
        <v xml:space="preserve">http://slimages.macys.com/is/image/MCY/20726218 </v>
      </c>
    </row>
    <row r="303" spans="1:20" ht="15" customHeight="1" x14ac:dyDescent="0.25">
      <c r="A303" s="4" t="s">
        <v>2489</v>
      </c>
      <c r="B303" s="2" t="s">
        <v>2487</v>
      </c>
      <c r="C303" s="2" t="s">
        <v>2488</v>
      </c>
      <c r="D303" s="5" t="s">
        <v>2490</v>
      </c>
      <c r="E303" s="4" t="s">
        <v>2491</v>
      </c>
      <c r="F303" s="6">
        <v>14236763</v>
      </c>
      <c r="G303" s="3">
        <v>14236763</v>
      </c>
      <c r="H303" s="7">
        <v>762120078023</v>
      </c>
      <c r="I303" s="8" t="s">
        <v>935</v>
      </c>
      <c r="J303" s="4">
        <v>1</v>
      </c>
      <c r="K303" s="9">
        <v>16.989999999999998</v>
      </c>
      <c r="L303" s="9">
        <v>16.989999999999998</v>
      </c>
      <c r="M303" s="4" t="s">
        <v>3429</v>
      </c>
      <c r="N303" s="4" t="s">
        <v>2803</v>
      </c>
      <c r="O303" s="4">
        <v>5</v>
      </c>
      <c r="P303" s="4" t="s">
        <v>2520</v>
      </c>
      <c r="Q303" s="4" t="s">
        <v>2528</v>
      </c>
      <c r="R303" s="4"/>
      <c r="S303" s="4"/>
      <c r="T303" s="4" t="str">
        <f>HYPERLINK("http://slimages.macys.com/is/image/MCY/1085516 ")</f>
        <v xml:space="preserve">http://slimages.macys.com/is/image/MCY/1085516 </v>
      </c>
    </row>
    <row r="304" spans="1:20" ht="15" customHeight="1" x14ac:dyDescent="0.25">
      <c r="A304" s="4" t="s">
        <v>2489</v>
      </c>
      <c r="B304" s="2" t="s">
        <v>2487</v>
      </c>
      <c r="C304" s="2" t="s">
        <v>2488</v>
      </c>
      <c r="D304" s="5" t="s">
        <v>2490</v>
      </c>
      <c r="E304" s="4" t="s">
        <v>2491</v>
      </c>
      <c r="F304" s="6">
        <v>14236763</v>
      </c>
      <c r="G304" s="3">
        <v>14236763</v>
      </c>
      <c r="H304" s="7">
        <v>195883922959</v>
      </c>
      <c r="I304" s="8" t="s">
        <v>3381</v>
      </c>
      <c r="J304" s="4">
        <v>1</v>
      </c>
      <c r="K304" s="9">
        <v>8.31</v>
      </c>
      <c r="L304" s="9">
        <v>8.31</v>
      </c>
      <c r="M304" s="4" t="s">
        <v>3158</v>
      </c>
      <c r="N304" s="4" t="s">
        <v>2508</v>
      </c>
      <c r="O304" s="4">
        <v>2</v>
      </c>
      <c r="P304" s="4" t="s">
        <v>2506</v>
      </c>
      <c r="Q304" s="4" t="s">
        <v>2527</v>
      </c>
      <c r="R304" s="4"/>
      <c r="S304" s="4"/>
      <c r="T304" s="4" t="str">
        <f>HYPERLINK("http://slimages.macys.com/is/image/MCY/20905077 ")</f>
        <v xml:space="preserve">http://slimages.macys.com/is/image/MCY/20905077 </v>
      </c>
    </row>
    <row r="305" spans="1:20" ht="15" customHeight="1" x14ac:dyDescent="0.25">
      <c r="A305" s="4" t="s">
        <v>2489</v>
      </c>
      <c r="B305" s="2" t="s">
        <v>2487</v>
      </c>
      <c r="C305" s="2" t="s">
        <v>2488</v>
      </c>
      <c r="D305" s="5" t="s">
        <v>2490</v>
      </c>
      <c r="E305" s="4" t="s">
        <v>2491</v>
      </c>
      <c r="F305" s="6">
        <v>14236763</v>
      </c>
      <c r="G305" s="3">
        <v>14236763</v>
      </c>
      <c r="H305" s="7">
        <v>195883380568</v>
      </c>
      <c r="I305" s="8" t="s">
        <v>764</v>
      </c>
      <c r="J305" s="4">
        <v>1</v>
      </c>
      <c r="K305" s="9">
        <v>8.99</v>
      </c>
      <c r="L305" s="9">
        <v>8.99</v>
      </c>
      <c r="M305" s="4" t="s">
        <v>2744</v>
      </c>
      <c r="N305" s="4" t="s">
        <v>2526</v>
      </c>
      <c r="O305" s="4">
        <v>2</v>
      </c>
      <c r="P305" s="4" t="s">
        <v>2506</v>
      </c>
      <c r="Q305" s="4" t="s">
        <v>2527</v>
      </c>
      <c r="R305" s="4"/>
      <c r="S305" s="4"/>
      <c r="T305" s="4" t="str">
        <f>HYPERLINK("http://slimages.macys.com/is/image/MCY/20192073 ")</f>
        <v xml:space="preserve">http://slimages.macys.com/is/image/MCY/20192073 </v>
      </c>
    </row>
    <row r="306" spans="1:20" ht="15" customHeight="1" x14ac:dyDescent="0.25">
      <c r="A306" s="4" t="s">
        <v>2489</v>
      </c>
      <c r="B306" s="2" t="s">
        <v>2487</v>
      </c>
      <c r="C306" s="2" t="s">
        <v>2488</v>
      </c>
      <c r="D306" s="5" t="s">
        <v>2490</v>
      </c>
      <c r="E306" s="4" t="s">
        <v>2491</v>
      </c>
      <c r="F306" s="6">
        <v>14236763</v>
      </c>
      <c r="G306" s="3">
        <v>14236763</v>
      </c>
      <c r="H306" s="7">
        <v>195883380599</v>
      </c>
      <c r="I306" s="8" t="s">
        <v>3112</v>
      </c>
      <c r="J306" s="4">
        <v>1</v>
      </c>
      <c r="K306" s="9">
        <v>8.99</v>
      </c>
      <c r="L306" s="9">
        <v>8.99</v>
      </c>
      <c r="M306" s="4" t="s">
        <v>2744</v>
      </c>
      <c r="N306" s="4" t="s">
        <v>2526</v>
      </c>
      <c r="O306" s="4">
        <v>5</v>
      </c>
      <c r="P306" s="4" t="s">
        <v>2506</v>
      </c>
      <c r="Q306" s="4" t="s">
        <v>2527</v>
      </c>
      <c r="R306" s="4"/>
      <c r="S306" s="4"/>
      <c r="T306" s="4" t="str">
        <f>HYPERLINK("http://slimages.macys.com/is/image/MCY/20192077 ")</f>
        <v xml:space="preserve">http://slimages.macys.com/is/image/MCY/20192077 </v>
      </c>
    </row>
    <row r="307" spans="1:20" ht="15" customHeight="1" x14ac:dyDescent="0.25">
      <c r="A307" s="4" t="s">
        <v>2489</v>
      </c>
      <c r="B307" s="2" t="s">
        <v>2487</v>
      </c>
      <c r="C307" s="2" t="s">
        <v>2488</v>
      </c>
      <c r="D307" s="5" t="s">
        <v>2490</v>
      </c>
      <c r="E307" s="4" t="s">
        <v>2491</v>
      </c>
      <c r="F307" s="6">
        <v>14236763</v>
      </c>
      <c r="G307" s="3">
        <v>14236763</v>
      </c>
      <c r="H307" s="7">
        <v>733004952401</v>
      </c>
      <c r="I307" s="8" t="s">
        <v>3366</v>
      </c>
      <c r="J307" s="4">
        <v>2</v>
      </c>
      <c r="K307" s="9">
        <v>13.99</v>
      </c>
      <c r="L307" s="9">
        <v>27.98</v>
      </c>
      <c r="M307" s="4" t="s">
        <v>3207</v>
      </c>
      <c r="N307" s="4" t="s">
        <v>2561</v>
      </c>
      <c r="O307" s="4" t="s">
        <v>2559</v>
      </c>
      <c r="P307" s="4" t="s">
        <v>2503</v>
      </c>
      <c r="Q307" s="4" t="s">
        <v>2504</v>
      </c>
      <c r="R307" s="4"/>
      <c r="S307" s="4"/>
      <c r="T307" s="4" t="str">
        <f>HYPERLINK("http://slimages.macys.com/is/image/MCY/20142576 ")</f>
        <v xml:space="preserve">http://slimages.macys.com/is/image/MCY/20142576 </v>
      </c>
    </row>
    <row r="308" spans="1:20" ht="15" customHeight="1" x14ac:dyDescent="0.25">
      <c r="A308" s="4" t="s">
        <v>2489</v>
      </c>
      <c r="B308" s="2" t="s">
        <v>2487</v>
      </c>
      <c r="C308" s="2" t="s">
        <v>2488</v>
      </c>
      <c r="D308" s="5" t="s">
        <v>2490</v>
      </c>
      <c r="E308" s="4" t="s">
        <v>2491</v>
      </c>
      <c r="F308" s="6">
        <v>14236763</v>
      </c>
      <c r="G308" s="3">
        <v>14236763</v>
      </c>
      <c r="H308" s="7">
        <v>733004741173</v>
      </c>
      <c r="I308" s="8" t="s">
        <v>936</v>
      </c>
      <c r="J308" s="4">
        <v>1</v>
      </c>
      <c r="K308" s="9">
        <v>5.99</v>
      </c>
      <c r="L308" s="9">
        <v>5.99</v>
      </c>
      <c r="M308" s="4" t="s">
        <v>805</v>
      </c>
      <c r="N308" s="4" t="s">
        <v>2561</v>
      </c>
      <c r="O308" s="4" t="s">
        <v>2566</v>
      </c>
      <c r="P308" s="4" t="s">
        <v>2503</v>
      </c>
      <c r="Q308" s="4" t="s">
        <v>2504</v>
      </c>
      <c r="R308" s="4"/>
      <c r="S308" s="4"/>
      <c r="T308" s="4" t="str">
        <f>HYPERLINK("http://slimages.macys.com/is/image/MCY/19977786 ")</f>
        <v xml:space="preserve">http://slimages.macys.com/is/image/MCY/19977786 </v>
      </c>
    </row>
    <row r="309" spans="1:20" ht="15" customHeight="1" x14ac:dyDescent="0.25">
      <c r="A309" s="4" t="s">
        <v>2489</v>
      </c>
      <c r="B309" s="2" t="s">
        <v>2487</v>
      </c>
      <c r="C309" s="2" t="s">
        <v>2488</v>
      </c>
      <c r="D309" s="5" t="s">
        <v>2490</v>
      </c>
      <c r="E309" s="4" t="s">
        <v>2491</v>
      </c>
      <c r="F309" s="6">
        <v>14236763</v>
      </c>
      <c r="G309" s="3">
        <v>14236763</v>
      </c>
      <c r="H309" s="7">
        <v>762120261418</v>
      </c>
      <c r="I309" s="8" t="s">
        <v>937</v>
      </c>
      <c r="J309" s="4">
        <v>1</v>
      </c>
      <c r="K309" s="9">
        <v>19.989999999999998</v>
      </c>
      <c r="L309" s="9">
        <v>19.989999999999998</v>
      </c>
      <c r="M309" s="4" t="s">
        <v>2042</v>
      </c>
      <c r="N309" s="4" t="s">
        <v>2561</v>
      </c>
      <c r="O309" s="4" t="s">
        <v>2502</v>
      </c>
      <c r="P309" s="4" t="s">
        <v>2503</v>
      </c>
      <c r="Q309" s="4" t="s">
        <v>2504</v>
      </c>
      <c r="R309" s="4"/>
      <c r="S309" s="4"/>
      <c r="T309" s="4" t="str">
        <f>HYPERLINK("http://slimages.macys.com/is/image/MCY/1100652 ")</f>
        <v xml:space="preserve">http://slimages.macys.com/is/image/MCY/1100652 </v>
      </c>
    </row>
    <row r="310" spans="1:20" ht="15" customHeight="1" x14ac:dyDescent="0.25">
      <c r="A310" s="4" t="s">
        <v>2489</v>
      </c>
      <c r="B310" s="2" t="s">
        <v>2487</v>
      </c>
      <c r="C310" s="2" t="s">
        <v>2488</v>
      </c>
      <c r="D310" s="5" t="s">
        <v>2490</v>
      </c>
      <c r="E310" s="4" t="s">
        <v>2491</v>
      </c>
      <c r="F310" s="6">
        <v>14236763</v>
      </c>
      <c r="G310" s="3">
        <v>14236763</v>
      </c>
      <c r="H310" s="7">
        <v>194135468047</v>
      </c>
      <c r="I310" s="8" t="s">
        <v>938</v>
      </c>
      <c r="J310" s="4">
        <v>1</v>
      </c>
      <c r="K310" s="9">
        <v>17.309999999999999</v>
      </c>
      <c r="L310" s="9">
        <v>17.309999999999999</v>
      </c>
      <c r="M310" s="4" t="s">
        <v>939</v>
      </c>
      <c r="N310" s="4"/>
      <c r="O310" s="4" t="s">
        <v>2587</v>
      </c>
      <c r="P310" s="4" t="s">
        <v>2657</v>
      </c>
      <c r="Q310" s="4" t="s">
        <v>2658</v>
      </c>
      <c r="R310" s="4"/>
      <c r="S310" s="4"/>
      <c r="T310" s="4" t="str">
        <f>HYPERLINK("http://slimages.macys.com/is/image/MCY/19910854 ")</f>
        <v xml:space="preserve">http://slimages.macys.com/is/image/MCY/19910854 </v>
      </c>
    </row>
    <row r="311" spans="1:20" ht="15" customHeight="1" x14ac:dyDescent="0.25">
      <c r="A311" s="4" t="s">
        <v>2489</v>
      </c>
      <c r="B311" s="2" t="s">
        <v>2487</v>
      </c>
      <c r="C311" s="2" t="s">
        <v>2488</v>
      </c>
      <c r="D311" s="5" t="s">
        <v>2490</v>
      </c>
      <c r="E311" s="4" t="s">
        <v>2491</v>
      </c>
      <c r="F311" s="6">
        <v>14236763</v>
      </c>
      <c r="G311" s="3">
        <v>14236763</v>
      </c>
      <c r="H311" s="7">
        <v>733004740015</v>
      </c>
      <c r="I311" s="8" t="s">
        <v>940</v>
      </c>
      <c r="J311" s="4">
        <v>1</v>
      </c>
      <c r="K311" s="9">
        <v>5.99</v>
      </c>
      <c r="L311" s="9">
        <v>5.99</v>
      </c>
      <c r="M311" s="4" t="s">
        <v>3357</v>
      </c>
      <c r="N311" s="4" t="s">
        <v>2501</v>
      </c>
      <c r="O311" s="4" t="s">
        <v>2566</v>
      </c>
      <c r="P311" s="4" t="s">
        <v>2503</v>
      </c>
      <c r="Q311" s="4" t="s">
        <v>2504</v>
      </c>
      <c r="R311" s="4"/>
      <c r="S311" s="4"/>
      <c r="T311" s="4" t="str">
        <f>HYPERLINK("http://slimages.macys.com/is/image/MCY/19977819 ")</f>
        <v xml:space="preserve">http://slimages.macys.com/is/image/MCY/19977819 </v>
      </c>
    </row>
    <row r="312" spans="1:20" ht="15" customHeight="1" x14ac:dyDescent="0.25">
      <c r="A312" s="4" t="s">
        <v>2489</v>
      </c>
      <c r="B312" s="2" t="s">
        <v>2487</v>
      </c>
      <c r="C312" s="2" t="s">
        <v>2488</v>
      </c>
      <c r="D312" s="5" t="s">
        <v>2490</v>
      </c>
      <c r="E312" s="4" t="s">
        <v>2491</v>
      </c>
      <c r="F312" s="6">
        <v>14236763</v>
      </c>
      <c r="G312" s="3">
        <v>14236763</v>
      </c>
      <c r="H312" s="7">
        <v>733004952418</v>
      </c>
      <c r="I312" s="8" t="s">
        <v>941</v>
      </c>
      <c r="J312" s="4">
        <v>2</v>
      </c>
      <c r="K312" s="9">
        <v>13.99</v>
      </c>
      <c r="L312" s="9">
        <v>27.98</v>
      </c>
      <c r="M312" s="4" t="s">
        <v>3207</v>
      </c>
      <c r="N312" s="4" t="s">
        <v>2561</v>
      </c>
      <c r="O312" s="4" t="s">
        <v>2601</v>
      </c>
      <c r="P312" s="4" t="s">
        <v>2503</v>
      </c>
      <c r="Q312" s="4" t="s">
        <v>2504</v>
      </c>
      <c r="R312" s="4"/>
      <c r="S312" s="4"/>
      <c r="T312" s="4" t="str">
        <f>HYPERLINK("http://slimages.macys.com/is/image/MCY/20142576 ")</f>
        <v xml:space="preserve">http://slimages.macys.com/is/image/MCY/20142576 </v>
      </c>
    </row>
    <row r="313" spans="1:20" ht="15" customHeight="1" x14ac:dyDescent="0.25">
      <c r="A313" s="4" t="s">
        <v>2489</v>
      </c>
      <c r="B313" s="2" t="s">
        <v>2487</v>
      </c>
      <c r="C313" s="2" t="s">
        <v>2488</v>
      </c>
      <c r="D313" s="5" t="s">
        <v>2490</v>
      </c>
      <c r="E313" s="4" t="s">
        <v>2491</v>
      </c>
      <c r="F313" s="6">
        <v>14236763</v>
      </c>
      <c r="G313" s="3">
        <v>14236763</v>
      </c>
      <c r="H313" s="7">
        <v>733004293849</v>
      </c>
      <c r="I313" s="8" t="s">
        <v>1595</v>
      </c>
      <c r="J313" s="4">
        <v>1</v>
      </c>
      <c r="K313" s="9">
        <v>13.99</v>
      </c>
      <c r="L313" s="9">
        <v>13.99</v>
      </c>
      <c r="M313" s="4" t="s">
        <v>1267</v>
      </c>
      <c r="N313" s="4" t="s">
        <v>2600</v>
      </c>
      <c r="O313" s="4" t="s">
        <v>2502</v>
      </c>
      <c r="P313" s="4" t="s">
        <v>2503</v>
      </c>
      <c r="Q313" s="4" t="s">
        <v>2504</v>
      </c>
      <c r="R313" s="4"/>
      <c r="S313" s="4"/>
      <c r="T313" s="4" t="str">
        <f>HYPERLINK("http://slimages.macys.com/is/image/MCY/19754215 ")</f>
        <v xml:space="preserve">http://slimages.macys.com/is/image/MCY/19754215 </v>
      </c>
    </row>
    <row r="314" spans="1:20" ht="15" customHeight="1" x14ac:dyDescent="0.25">
      <c r="A314" s="4" t="s">
        <v>2489</v>
      </c>
      <c r="B314" s="2" t="s">
        <v>2487</v>
      </c>
      <c r="C314" s="2" t="s">
        <v>2488</v>
      </c>
      <c r="D314" s="5" t="s">
        <v>2490</v>
      </c>
      <c r="E314" s="4" t="s">
        <v>2491</v>
      </c>
      <c r="F314" s="6">
        <v>14236763</v>
      </c>
      <c r="G314" s="3">
        <v>14236763</v>
      </c>
      <c r="H314" s="7">
        <v>677838853858</v>
      </c>
      <c r="I314" s="8" t="s">
        <v>490</v>
      </c>
      <c r="J314" s="4">
        <v>2</v>
      </c>
      <c r="K314" s="9">
        <v>26.99</v>
      </c>
      <c r="L314" s="9">
        <v>53.98</v>
      </c>
      <c r="M314" s="4" t="s">
        <v>2890</v>
      </c>
      <c r="N314" s="4" t="s">
        <v>2535</v>
      </c>
      <c r="O314" s="4" t="s">
        <v>2591</v>
      </c>
      <c r="P314" s="4" t="s">
        <v>2562</v>
      </c>
      <c r="Q314" s="4" t="s">
        <v>2733</v>
      </c>
      <c r="R314" s="4"/>
      <c r="S314" s="4"/>
      <c r="T314" s="4" t="str">
        <f>HYPERLINK("http://slimages.macys.com/is/image/MCY/20643223 ")</f>
        <v xml:space="preserve">http://slimages.macys.com/is/image/MCY/20643223 </v>
      </c>
    </row>
    <row r="315" spans="1:20" ht="15" customHeight="1" x14ac:dyDescent="0.25">
      <c r="A315" s="4" t="s">
        <v>2489</v>
      </c>
      <c r="B315" s="2" t="s">
        <v>2487</v>
      </c>
      <c r="C315" s="2" t="s">
        <v>2488</v>
      </c>
      <c r="D315" s="5" t="s">
        <v>2490</v>
      </c>
      <c r="E315" s="4" t="s">
        <v>2491</v>
      </c>
      <c r="F315" s="6">
        <v>14236763</v>
      </c>
      <c r="G315" s="3">
        <v>14236763</v>
      </c>
      <c r="H315" s="7">
        <v>677838853841</v>
      </c>
      <c r="I315" s="8" t="s">
        <v>3249</v>
      </c>
      <c r="J315" s="4">
        <v>1</v>
      </c>
      <c r="K315" s="9">
        <v>26.99</v>
      </c>
      <c r="L315" s="9">
        <v>26.99</v>
      </c>
      <c r="M315" s="4" t="s">
        <v>2890</v>
      </c>
      <c r="N315" s="4" t="s">
        <v>2535</v>
      </c>
      <c r="O315" s="4" t="s">
        <v>2961</v>
      </c>
      <c r="P315" s="4" t="s">
        <v>2562</v>
      </c>
      <c r="Q315" s="4" t="s">
        <v>2733</v>
      </c>
      <c r="R315" s="4"/>
      <c r="S315" s="4"/>
      <c r="T315" s="4" t="str">
        <f>HYPERLINK("http://slimages.macys.com/is/image/MCY/20643223 ")</f>
        <v xml:space="preserve">http://slimages.macys.com/is/image/MCY/20643223 </v>
      </c>
    </row>
    <row r="316" spans="1:20" ht="15" customHeight="1" x14ac:dyDescent="0.25">
      <c r="A316" s="4" t="s">
        <v>2489</v>
      </c>
      <c r="B316" s="2" t="s">
        <v>2487</v>
      </c>
      <c r="C316" s="2" t="s">
        <v>2488</v>
      </c>
      <c r="D316" s="5" t="s">
        <v>2490</v>
      </c>
      <c r="E316" s="4" t="s">
        <v>2491</v>
      </c>
      <c r="F316" s="6">
        <v>14236763</v>
      </c>
      <c r="G316" s="3">
        <v>14236763</v>
      </c>
      <c r="H316" s="7">
        <v>733001050643</v>
      </c>
      <c r="I316" s="8" t="s">
        <v>942</v>
      </c>
      <c r="J316" s="4">
        <v>3</v>
      </c>
      <c r="K316" s="9">
        <v>8.99</v>
      </c>
      <c r="L316" s="9">
        <v>26.97</v>
      </c>
      <c r="M316" s="4" t="s">
        <v>2674</v>
      </c>
      <c r="N316" s="4" t="s">
        <v>2501</v>
      </c>
      <c r="O316" s="4" t="s">
        <v>2607</v>
      </c>
      <c r="P316" s="4" t="s">
        <v>2503</v>
      </c>
      <c r="Q316" s="4" t="s">
        <v>2504</v>
      </c>
      <c r="R316" s="4"/>
      <c r="S316" s="4"/>
      <c r="T316" s="4" t="str">
        <f>HYPERLINK("http://slimages.macys.com/is/image/MCY/17586312 ")</f>
        <v xml:space="preserve">http://slimages.macys.com/is/image/MCY/17586312 </v>
      </c>
    </row>
    <row r="317" spans="1:20" ht="15" customHeight="1" x14ac:dyDescent="0.25">
      <c r="A317" s="4" t="s">
        <v>2489</v>
      </c>
      <c r="B317" s="2" t="s">
        <v>2487</v>
      </c>
      <c r="C317" s="2" t="s">
        <v>2488</v>
      </c>
      <c r="D317" s="5" t="s">
        <v>2490</v>
      </c>
      <c r="E317" s="4" t="s">
        <v>2491</v>
      </c>
      <c r="F317" s="6">
        <v>14236763</v>
      </c>
      <c r="G317" s="3">
        <v>14236763</v>
      </c>
      <c r="H317" s="7">
        <v>733004295416</v>
      </c>
      <c r="I317" s="8" t="s">
        <v>1551</v>
      </c>
      <c r="J317" s="4">
        <v>2</v>
      </c>
      <c r="K317" s="9">
        <v>12.99</v>
      </c>
      <c r="L317" s="9">
        <v>25.98</v>
      </c>
      <c r="M317" s="4" t="s">
        <v>1545</v>
      </c>
      <c r="N317" s="4" t="s">
        <v>2501</v>
      </c>
      <c r="O317" s="4" t="s">
        <v>2566</v>
      </c>
      <c r="P317" s="4" t="s">
        <v>2503</v>
      </c>
      <c r="Q317" s="4" t="s">
        <v>2504</v>
      </c>
      <c r="R317" s="4"/>
      <c r="S317" s="4"/>
      <c r="T317" s="4" t="str">
        <f>HYPERLINK("http://slimages.macys.com/is/image/MCY/19754250 ")</f>
        <v xml:space="preserve">http://slimages.macys.com/is/image/MCY/19754250 </v>
      </c>
    </row>
    <row r="318" spans="1:20" ht="15" customHeight="1" x14ac:dyDescent="0.25">
      <c r="A318" s="4" t="s">
        <v>2489</v>
      </c>
      <c r="B318" s="2" t="s">
        <v>2487</v>
      </c>
      <c r="C318" s="2" t="s">
        <v>2488</v>
      </c>
      <c r="D318" s="5" t="s">
        <v>2490</v>
      </c>
      <c r="E318" s="4" t="s">
        <v>2491</v>
      </c>
      <c r="F318" s="6">
        <v>14236763</v>
      </c>
      <c r="G318" s="3">
        <v>14236763</v>
      </c>
      <c r="H318" s="7">
        <v>733004591709</v>
      </c>
      <c r="I318" s="8" t="s">
        <v>1524</v>
      </c>
      <c r="J318" s="4">
        <v>1</v>
      </c>
      <c r="K318" s="9">
        <v>15.99</v>
      </c>
      <c r="L318" s="9">
        <v>15.99</v>
      </c>
      <c r="M318" s="4">
        <v>10013097200</v>
      </c>
      <c r="N318" s="4" t="s">
        <v>2665</v>
      </c>
      <c r="O318" s="4"/>
      <c r="P318" s="4" t="s">
        <v>2503</v>
      </c>
      <c r="Q318" s="4" t="s">
        <v>2504</v>
      </c>
      <c r="R318" s="4"/>
      <c r="S318" s="4"/>
      <c r="T318" s="4" t="str">
        <f>HYPERLINK("http://slimages.macys.com/is/image/MCY/1006593 ")</f>
        <v xml:space="preserve">http://slimages.macys.com/is/image/MCY/1006593 </v>
      </c>
    </row>
    <row r="319" spans="1:20" ht="15" customHeight="1" x14ac:dyDescent="0.25">
      <c r="A319" s="4" t="s">
        <v>2489</v>
      </c>
      <c r="B319" s="2" t="s">
        <v>2487</v>
      </c>
      <c r="C319" s="2" t="s">
        <v>2488</v>
      </c>
      <c r="D319" s="5" t="s">
        <v>2490</v>
      </c>
      <c r="E319" s="4" t="s">
        <v>2491</v>
      </c>
      <c r="F319" s="6">
        <v>14236763</v>
      </c>
      <c r="G319" s="3">
        <v>14236763</v>
      </c>
      <c r="H319" s="7">
        <v>733003930448</v>
      </c>
      <c r="I319" s="8" t="s">
        <v>3174</v>
      </c>
      <c r="J319" s="4">
        <v>1</v>
      </c>
      <c r="K319" s="9">
        <v>12.99</v>
      </c>
      <c r="L319" s="9">
        <v>12.99</v>
      </c>
      <c r="M319" s="4" t="s">
        <v>3175</v>
      </c>
      <c r="N319" s="4" t="s">
        <v>2501</v>
      </c>
      <c r="O319" s="4" t="s">
        <v>2566</v>
      </c>
      <c r="P319" s="4" t="s">
        <v>2503</v>
      </c>
      <c r="Q319" s="4" t="s">
        <v>2504</v>
      </c>
      <c r="R319" s="4"/>
      <c r="S319" s="4"/>
      <c r="T319" s="4" t="str">
        <f>HYPERLINK("http://slimages.macys.com/is/image/MCY/19511794 ")</f>
        <v xml:space="preserve">http://slimages.macys.com/is/image/MCY/19511794 </v>
      </c>
    </row>
    <row r="320" spans="1:20" ht="15" customHeight="1" x14ac:dyDescent="0.25">
      <c r="A320" s="4" t="s">
        <v>2489</v>
      </c>
      <c r="B320" s="2" t="s">
        <v>2487</v>
      </c>
      <c r="C320" s="2" t="s">
        <v>2488</v>
      </c>
      <c r="D320" s="5" t="s">
        <v>2490</v>
      </c>
      <c r="E320" s="4" t="s">
        <v>2491</v>
      </c>
      <c r="F320" s="6">
        <v>14236763</v>
      </c>
      <c r="G320" s="3">
        <v>14236763</v>
      </c>
      <c r="H320" s="7">
        <v>193188891710</v>
      </c>
      <c r="I320" s="8" t="s">
        <v>943</v>
      </c>
      <c r="J320" s="4">
        <v>1</v>
      </c>
      <c r="K320" s="9">
        <v>26.99</v>
      </c>
      <c r="L320" s="9">
        <v>26.99</v>
      </c>
      <c r="M320" s="4" t="s">
        <v>2640</v>
      </c>
      <c r="N320" s="4" t="s">
        <v>2497</v>
      </c>
      <c r="O320" s="4" t="s">
        <v>2705</v>
      </c>
      <c r="P320" s="4" t="s">
        <v>2550</v>
      </c>
      <c r="Q320" s="4" t="s">
        <v>2641</v>
      </c>
      <c r="R320" s="4"/>
      <c r="S320" s="4"/>
      <c r="T320" s="4" t="str">
        <f>HYPERLINK("http://slimages.macys.com/is/image/MCY/19575591 ")</f>
        <v xml:space="preserve">http://slimages.macys.com/is/image/MCY/19575591 </v>
      </c>
    </row>
    <row r="321" spans="1:20" ht="15" customHeight="1" x14ac:dyDescent="0.25">
      <c r="A321" s="4" t="s">
        <v>2489</v>
      </c>
      <c r="B321" s="2" t="s">
        <v>2487</v>
      </c>
      <c r="C321" s="2" t="s">
        <v>2488</v>
      </c>
      <c r="D321" s="5" t="s">
        <v>2490</v>
      </c>
      <c r="E321" s="4" t="s">
        <v>2491</v>
      </c>
      <c r="F321" s="6">
        <v>14236763</v>
      </c>
      <c r="G321" s="3">
        <v>14236763</v>
      </c>
      <c r="H321" s="7">
        <v>733004723100</v>
      </c>
      <c r="I321" s="8" t="s">
        <v>944</v>
      </c>
      <c r="J321" s="4">
        <v>1</v>
      </c>
      <c r="K321" s="9">
        <v>25.99</v>
      </c>
      <c r="L321" s="9">
        <v>25.99</v>
      </c>
      <c r="M321" s="4" t="s">
        <v>3178</v>
      </c>
      <c r="N321" s="4" t="s">
        <v>2518</v>
      </c>
      <c r="O321" s="4" t="s">
        <v>2493</v>
      </c>
      <c r="P321" s="4" t="s">
        <v>2503</v>
      </c>
      <c r="Q321" s="4" t="s">
        <v>2504</v>
      </c>
      <c r="R321" s="4"/>
      <c r="S321" s="4"/>
      <c r="T321" s="4" t="str">
        <f>HYPERLINK("http://slimages.macys.com/is/image/MCY/1041651 ")</f>
        <v xml:space="preserve">http://slimages.macys.com/is/image/MCY/1041651 </v>
      </c>
    </row>
    <row r="322" spans="1:20" ht="15" customHeight="1" x14ac:dyDescent="0.25">
      <c r="A322" s="4" t="s">
        <v>2489</v>
      </c>
      <c r="B322" s="2" t="s">
        <v>2487</v>
      </c>
      <c r="C322" s="2" t="s">
        <v>2488</v>
      </c>
      <c r="D322" s="5" t="s">
        <v>2490</v>
      </c>
      <c r="E322" s="4" t="s">
        <v>2491</v>
      </c>
      <c r="F322" s="6">
        <v>14236763</v>
      </c>
      <c r="G322" s="3">
        <v>14236763</v>
      </c>
      <c r="H322" s="7">
        <v>194257385024</v>
      </c>
      <c r="I322" s="8" t="s">
        <v>945</v>
      </c>
      <c r="J322" s="4">
        <v>1</v>
      </c>
      <c r="K322" s="9">
        <v>8.99</v>
      </c>
      <c r="L322" s="9">
        <v>8.99</v>
      </c>
      <c r="M322" s="4" t="s">
        <v>2604</v>
      </c>
      <c r="N322" s="4" t="s">
        <v>2567</v>
      </c>
      <c r="O322" s="4">
        <v>4</v>
      </c>
      <c r="P322" s="4" t="s">
        <v>2499</v>
      </c>
      <c r="Q322" s="4" t="s">
        <v>2525</v>
      </c>
      <c r="R322" s="4"/>
      <c r="S322" s="4"/>
      <c r="T322" s="4" t="str">
        <f>HYPERLINK("http://slimages.macys.com/is/image/MCY/19944401 ")</f>
        <v xml:space="preserve">http://slimages.macys.com/is/image/MCY/19944401 </v>
      </c>
    </row>
    <row r="323" spans="1:20" ht="15" customHeight="1" x14ac:dyDescent="0.25">
      <c r="A323" s="4" t="s">
        <v>2489</v>
      </c>
      <c r="B323" s="2" t="s">
        <v>2487</v>
      </c>
      <c r="C323" s="2" t="s">
        <v>2488</v>
      </c>
      <c r="D323" s="5" t="s">
        <v>2490</v>
      </c>
      <c r="E323" s="4" t="s">
        <v>2491</v>
      </c>
      <c r="F323" s="6">
        <v>14236763</v>
      </c>
      <c r="G323" s="3">
        <v>14236763</v>
      </c>
      <c r="H323" s="7">
        <v>733001673859</v>
      </c>
      <c r="I323" s="8" t="s">
        <v>946</v>
      </c>
      <c r="J323" s="4">
        <v>2</v>
      </c>
      <c r="K323" s="9">
        <v>7.99</v>
      </c>
      <c r="L323" s="9">
        <v>15.98</v>
      </c>
      <c r="M323" s="4" t="s">
        <v>947</v>
      </c>
      <c r="N323" s="4" t="s">
        <v>2501</v>
      </c>
      <c r="O323" s="4" t="s">
        <v>2628</v>
      </c>
      <c r="P323" s="4" t="s">
        <v>2503</v>
      </c>
      <c r="Q323" s="4" t="s">
        <v>2504</v>
      </c>
      <c r="R323" s="4"/>
      <c r="S323" s="4"/>
      <c r="T323" s="4" t="str">
        <f>HYPERLINK("http://slimages.macys.com/is/image/MCY/17565512 ")</f>
        <v xml:space="preserve">http://slimages.macys.com/is/image/MCY/17565512 </v>
      </c>
    </row>
    <row r="324" spans="1:20" ht="15" customHeight="1" x14ac:dyDescent="0.25">
      <c r="A324" s="4" t="s">
        <v>2489</v>
      </c>
      <c r="B324" s="2" t="s">
        <v>2487</v>
      </c>
      <c r="C324" s="2" t="s">
        <v>2488</v>
      </c>
      <c r="D324" s="5" t="s">
        <v>2490</v>
      </c>
      <c r="E324" s="4" t="s">
        <v>2491</v>
      </c>
      <c r="F324" s="6">
        <v>14236763</v>
      </c>
      <c r="G324" s="3">
        <v>14236763</v>
      </c>
      <c r="H324" s="7">
        <v>733004746208</v>
      </c>
      <c r="I324" s="8" t="s">
        <v>3244</v>
      </c>
      <c r="J324" s="4">
        <v>1</v>
      </c>
      <c r="K324" s="9">
        <v>6.99</v>
      </c>
      <c r="L324" s="9">
        <v>6.99</v>
      </c>
      <c r="M324" s="4" t="s">
        <v>2885</v>
      </c>
      <c r="N324" s="4" t="s">
        <v>2505</v>
      </c>
      <c r="O324" s="4" t="s">
        <v>2566</v>
      </c>
      <c r="P324" s="4" t="s">
        <v>2503</v>
      </c>
      <c r="Q324" s="4" t="s">
        <v>2504</v>
      </c>
      <c r="R324" s="4"/>
      <c r="S324" s="4"/>
      <c r="T324" s="4" t="str">
        <f>HYPERLINK("http://slimages.macys.com/is/image/MCY/19977855 ")</f>
        <v xml:space="preserve">http://slimages.macys.com/is/image/MCY/19977855 </v>
      </c>
    </row>
    <row r="325" spans="1:20" ht="15" customHeight="1" x14ac:dyDescent="0.25">
      <c r="A325" s="4" t="s">
        <v>2489</v>
      </c>
      <c r="B325" s="2" t="s">
        <v>2487</v>
      </c>
      <c r="C325" s="2" t="s">
        <v>2488</v>
      </c>
      <c r="D325" s="5" t="s">
        <v>2490</v>
      </c>
      <c r="E325" s="4" t="s">
        <v>2491</v>
      </c>
      <c r="F325" s="6">
        <v>14236763</v>
      </c>
      <c r="G325" s="3">
        <v>14236763</v>
      </c>
      <c r="H325" s="7">
        <v>733004524226</v>
      </c>
      <c r="I325" s="8" t="s">
        <v>1598</v>
      </c>
      <c r="J325" s="4">
        <v>1</v>
      </c>
      <c r="K325" s="9">
        <v>22.99</v>
      </c>
      <c r="L325" s="9">
        <v>22.99</v>
      </c>
      <c r="M325" s="4" t="s">
        <v>1599</v>
      </c>
      <c r="N325" s="4" t="s">
        <v>2731</v>
      </c>
      <c r="O325" s="4" t="s">
        <v>2628</v>
      </c>
      <c r="P325" s="4" t="s">
        <v>2602</v>
      </c>
      <c r="Q325" s="4" t="s">
        <v>2528</v>
      </c>
      <c r="R325" s="4"/>
      <c r="S325" s="4"/>
      <c r="T325" s="4" t="str">
        <f>HYPERLINK("http://slimages.macys.com/is/image/MCY/20168214 ")</f>
        <v xml:space="preserve">http://slimages.macys.com/is/image/MCY/20168214 </v>
      </c>
    </row>
    <row r="326" spans="1:20" ht="15" customHeight="1" x14ac:dyDescent="0.25">
      <c r="A326" s="4" t="s">
        <v>2489</v>
      </c>
      <c r="B326" s="2" t="s">
        <v>2487</v>
      </c>
      <c r="C326" s="2" t="s">
        <v>2488</v>
      </c>
      <c r="D326" s="5" t="s">
        <v>2490</v>
      </c>
      <c r="E326" s="4" t="s">
        <v>2491</v>
      </c>
      <c r="F326" s="6">
        <v>14236763</v>
      </c>
      <c r="G326" s="3">
        <v>14236763</v>
      </c>
      <c r="H326" s="7">
        <v>194753977051</v>
      </c>
      <c r="I326" s="8" t="s">
        <v>948</v>
      </c>
      <c r="J326" s="4">
        <v>1</v>
      </c>
      <c r="K326" s="9">
        <v>59.5</v>
      </c>
      <c r="L326" s="9">
        <v>59.5</v>
      </c>
      <c r="M326" s="4" t="s">
        <v>949</v>
      </c>
      <c r="N326" s="4" t="s">
        <v>2497</v>
      </c>
      <c r="O326" s="4"/>
      <c r="P326" s="4" t="s">
        <v>2556</v>
      </c>
      <c r="Q326" s="4" t="s">
        <v>2946</v>
      </c>
      <c r="R326" s="4"/>
      <c r="S326" s="4"/>
      <c r="T326" s="4" t="str">
        <f>HYPERLINK("http://slimages.macys.com/is/image/MCY/20719902 ")</f>
        <v xml:space="preserve">http://slimages.macys.com/is/image/MCY/20719902 </v>
      </c>
    </row>
    <row r="327" spans="1:20" ht="15" customHeight="1" x14ac:dyDescent="0.25">
      <c r="A327" s="4" t="s">
        <v>2489</v>
      </c>
      <c r="B327" s="2" t="s">
        <v>2487</v>
      </c>
      <c r="C327" s="2" t="s">
        <v>2488</v>
      </c>
      <c r="D327" s="5" t="s">
        <v>2490</v>
      </c>
      <c r="E327" s="4" t="s">
        <v>2491</v>
      </c>
      <c r="F327" s="6">
        <v>14236763</v>
      </c>
      <c r="G327" s="3">
        <v>14236763</v>
      </c>
      <c r="H327" s="7">
        <v>887685991829</v>
      </c>
      <c r="I327" s="8" t="s">
        <v>3144</v>
      </c>
      <c r="J327" s="4">
        <v>1</v>
      </c>
      <c r="K327" s="9">
        <v>55</v>
      </c>
      <c r="L327" s="9">
        <v>55</v>
      </c>
      <c r="M327" s="4">
        <v>323855040002</v>
      </c>
      <c r="N327" s="4" t="s">
        <v>2523</v>
      </c>
      <c r="O327" s="4" t="s">
        <v>2532</v>
      </c>
      <c r="P327" s="4" t="s">
        <v>2615</v>
      </c>
      <c r="Q327" s="4" t="s">
        <v>2616</v>
      </c>
      <c r="R327" s="4"/>
      <c r="S327" s="4"/>
      <c r="T327" s="4" t="str">
        <f>HYPERLINK("http://slimages.macys.com/is/image/MCY/20141263 ")</f>
        <v xml:space="preserve">http://slimages.macys.com/is/image/MCY/20141263 </v>
      </c>
    </row>
    <row r="328" spans="1:20" ht="15" customHeight="1" x14ac:dyDescent="0.25">
      <c r="A328" s="4" t="s">
        <v>2489</v>
      </c>
      <c r="B328" s="2" t="s">
        <v>2487</v>
      </c>
      <c r="C328" s="2" t="s">
        <v>2488</v>
      </c>
      <c r="D328" s="5" t="s">
        <v>2490</v>
      </c>
      <c r="E328" s="4" t="s">
        <v>2491</v>
      </c>
      <c r="F328" s="6">
        <v>14236763</v>
      </c>
      <c r="G328" s="3">
        <v>14236763</v>
      </c>
      <c r="H328" s="7">
        <v>195958005945</v>
      </c>
      <c r="I328" s="8" t="s">
        <v>950</v>
      </c>
      <c r="J328" s="4">
        <v>1</v>
      </c>
      <c r="K328" s="9">
        <v>29.5</v>
      </c>
      <c r="L328" s="9">
        <v>29.5</v>
      </c>
      <c r="M328" s="4" t="s">
        <v>951</v>
      </c>
      <c r="N328" s="4" t="s">
        <v>2501</v>
      </c>
      <c r="O328" s="4">
        <v>8</v>
      </c>
      <c r="P328" s="4" t="s">
        <v>2866</v>
      </c>
      <c r="Q328" s="4" t="s">
        <v>2656</v>
      </c>
      <c r="R328" s="4"/>
      <c r="S328" s="4"/>
      <c r="T328" s="4" t="str">
        <f>HYPERLINK("http://slimages.macys.com/is/image/MCY/20670625 ")</f>
        <v xml:space="preserve">http://slimages.macys.com/is/image/MCY/20670625 </v>
      </c>
    </row>
    <row r="329" spans="1:20" ht="15" customHeight="1" x14ac:dyDescent="0.25">
      <c r="A329" s="4" t="s">
        <v>2489</v>
      </c>
      <c r="B329" s="2" t="s">
        <v>2487</v>
      </c>
      <c r="C329" s="2" t="s">
        <v>2488</v>
      </c>
      <c r="D329" s="5" t="s">
        <v>2490</v>
      </c>
      <c r="E329" s="4" t="s">
        <v>2491</v>
      </c>
      <c r="F329" s="6">
        <v>14236763</v>
      </c>
      <c r="G329" s="3">
        <v>14236763</v>
      </c>
      <c r="H329" s="7">
        <v>733004297816</v>
      </c>
      <c r="I329" s="8" t="s">
        <v>1554</v>
      </c>
      <c r="J329" s="4">
        <v>2</v>
      </c>
      <c r="K329" s="9">
        <v>27.99</v>
      </c>
      <c r="L329" s="9">
        <v>55.98</v>
      </c>
      <c r="M329" s="4" t="s">
        <v>2949</v>
      </c>
      <c r="N329" s="4" t="s">
        <v>2561</v>
      </c>
      <c r="O329" s="4" t="s">
        <v>2671</v>
      </c>
      <c r="P329" s="4" t="s">
        <v>2515</v>
      </c>
      <c r="Q329" s="4" t="s">
        <v>2672</v>
      </c>
      <c r="R329" s="4"/>
      <c r="S329" s="4"/>
      <c r="T329" s="4" t="str">
        <f>HYPERLINK("http://slimages.macys.com/is/image/MCY/20143278 ")</f>
        <v xml:space="preserve">http://slimages.macys.com/is/image/MCY/20143278 </v>
      </c>
    </row>
    <row r="330" spans="1:20" ht="15" customHeight="1" x14ac:dyDescent="0.25">
      <c r="A330" s="4" t="s">
        <v>2489</v>
      </c>
      <c r="B330" s="2" t="s">
        <v>2487</v>
      </c>
      <c r="C330" s="2" t="s">
        <v>2488</v>
      </c>
      <c r="D330" s="5" t="s">
        <v>2490</v>
      </c>
      <c r="E330" s="4" t="s">
        <v>2491</v>
      </c>
      <c r="F330" s="6">
        <v>14236763</v>
      </c>
      <c r="G330" s="3">
        <v>14236763</v>
      </c>
      <c r="H330" s="7">
        <v>733004780073</v>
      </c>
      <c r="I330" s="8" t="s">
        <v>1364</v>
      </c>
      <c r="J330" s="4">
        <v>1</v>
      </c>
      <c r="K330" s="9">
        <v>7.99</v>
      </c>
      <c r="L330" s="9">
        <v>7.99</v>
      </c>
      <c r="M330" s="4" t="s">
        <v>2692</v>
      </c>
      <c r="N330" s="4" t="s">
        <v>2501</v>
      </c>
      <c r="O330" s="4" t="s">
        <v>2650</v>
      </c>
      <c r="P330" s="4" t="s">
        <v>2602</v>
      </c>
      <c r="Q330" s="4" t="s">
        <v>2528</v>
      </c>
      <c r="R330" s="4"/>
      <c r="S330" s="4"/>
      <c r="T330" s="4" t="str">
        <f>HYPERLINK("http://slimages.macys.com/is/image/MCY/20450163 ")</f>
        <v xml:space="preserve">http://slimages.macys.com/is/image/MCY/20450163 </v>
      </c>
    </row>
    <row r="331" spans="1:20" ht="15" customHeight="1" x14ac:dyDescent="0.25">
      <c r="A331" s="4" t="s">
        <v>2489</v>
      </c>
      <c r="B331" s="2" t="s">
        <v>2487</v>
      </c>
      <c r="C331" s="2" t="s">
        <v>2488</v>
      </c>
      <c r="D331" s="5" t="s">
        <v>2490</v>
      </c>
      <c r="E331" s="4" t="s">
        <v>2491</v>
      </c>
      <c r="F331" s="6">
        <v>14236763</v>
      </c>
      <c r="G331" s="3">
        <v>14236763</v>
      </c>
      <c r="H331" s="7">
        <v>733004778995</v>
      </c>
      <c r="I331" s="8" t="s">
        <v>952</v>
      </c>
      <c r="J331" s="4">
        <v>1</v>
      </c>
      <c r="K331" s="9">
        <v>7.99</v>
      </c>
      <c r="L331" s="9">
        <v>7.99</v>
      </c>
      <c r="M331" s="4" t="s">
        <v>1592</v>
      </c>
      <c r="N331" s="4" t="s">
        <v>2501</v>
      </c>
      <c r="O331" s="4" t="s">
        <v>2628</v>
      </c>
      <c r="P331" s="4" t="s">
        <v>2602</v>
      </c>
      <c r="Q331" s="4" t="s">
        <v>2528</v>
      </c>
      <c r="R331" s="4"/>
      <c r="S331" s="4"/>
      <c r="T331" s="4" t="str">
        <f>HYPERLINK("http://slimages.macys.com/is/image/MCY/20450140 ")</f>
        <v xml:space="preserve">http://slimages.macys.com/is/image/MCY/20450140 </v>
      </c>
    </row>
    <row r="332" spans="1:20" ht="15" customHeight="1" x14ac:dyDescent="0.25">
      <c r="A332" s="4" t="s">
        <v>2489</v>
      </c>
      <c r="B332" s="2" t="s">
        <v>2487</v>
      </c>
      <c r="C332" s="2" t="s">
        <v>2488</v>
      </c>
      <c r="D332" s="5" t="s">
        <v>2490</v>
      </c>
      <c r="E332" s="4" t="s">
        <v>2491</v>
      </c>
      <c r="F332" s="6">
        <v>14236763</v>
      </c>
      <c r="G332" s="3">
        <v>14236763</v>
      </c>
      <c r="H332" s="7">
        <v>194135096721</v>
      </c>
      <c r="I332" s="8" t="s">
        <v>953</v>
      </c>
      <c r="J332" s="4">
        <v>2</v>
      </c>
      <c r="K332" s="9">
        <v>9.1</v>
      </c>
      <c r="L332" s="9">
        <v>18.2</v>
      </c>
      <c r="M332" s="4" t="s">
        <v>954</v>
      </c>
      <c r="N332" s="4"/>
      <c r="O332" s="4" t="s">
        <v>2591</v>
      </c>
      <c r="P332" s="4" t="s">
        <v>2494</v>
      </c>
      <c r="Q332" s="4" t="s">
        <v>2495</v>
      </c>
      <c r="R332" s="4"/>
      <c r="S332" s="4"/>
      <c r="T332" s="4" t="str">
        <f>HYPERLINK("http://slimages.macys.com/is/image/MCY/18645780 ")</f>
        <v xml:space="preserve">http://slimages.macys.com/is/image/MCY/18645780 </v>
      </c>
    </row>
    <row r="333" spans="1:20" ht="15" customHeight="1" x14ac:dyDescent="0.25">
      <c r="A333" s="4" t="s">
        <v>2489</v>
      </c>
      <c r="B333" s="2" t="s">
        <v>2487</v>
      </c>
      <c r="C333" s="2" t="s">
        <v>2488</v>
      </c>
      <c r="D333" s="5" t="s">
        <v>2490</v>
      </c>
      <c r="E333" s="4" t="s">
        <v>2491</v>
      </c>
      <c r="F333" s="6">
        <v>14236763</v>
      </c>
      <c r="G333" s="3">
        <v>14236763</v>
      </c>
      <c r="H333" s="7">
        <v>733004780172</v>
      </c>
      <c r="I333" s="8" t="s">
        <v>1337</v>
      </c>
      <c r="J333" s="4">
        <v>1</v>
      </c>
      <c r="K333" s="9">
        <v>7.99</v>
      </c>
      <c r="L333" s="9">
        <v>7.99</v>
      </c>
      <c r="M333" s="4" t="s">
        <v>3149</v>
      </c>
      <c r="N333" s="4" t="s">
        <v>2638</v>
      </c>
      <c r="O333" s="4">
        <v>5</v>
      </c>
      <c r="P333" s="4" t="s">
        <v>2602</v>
      </c>
      <c r="Q333" s="4" t="s">
        <v>2528</v>
      </c>
      <c r="R333" s="4"/>
      <c r="S333" s="4"/>
      <c r="T333" s="4" t="str">
        <f>HYPERLINK("http://slimages.macys.com/is/image/MCY/20450168 ")</f>
        <v xml:space="preserve">http://slimages.macys.com/is/image/MCY/20450168 </v>
      </c>
    </row>
    <row r="334" spans="1:20" ht="15" customHeight="1" x14ac:dyDescent="0.25">
      <c r="A334" s="4" t="s">
        <v>2489</v>
      </c>
      <c r="B334" s="2" t="s">
        <v>2487</v>
      </c>
      <c r="C334" s="2" t="s">
        <v>2488</v>
      </c>
      <c r="D334" s="5" t="s">
        <v>2490</v>
      </c>
      <c r="E334" s="4" t="s">
        <v>2491</v>
      </c>
      <c r="F334" s="6">
        <v>14236763</v>
      </c>
      <c r="G334" s="3">
        <v>14236763</v>
      </c>
      <c r="H334" s="7">
        <v>733004086021</v>
      </c>
      <c r="I334" s="8" t="s">
        <v>2003</v>
      </c>
      <c r="J334" s="4">
        <v>1</v>
      </c>
      <c r="K334" s="9">
        <v>21.99</v>
      </c>
      <c r="L334" s="9">
        <v>21.99</v>
      </c>
      <c r="M334" s="4" t="s">
        <v>2004</v>
      </c>
      <c r="N334" s="4"/>
      <c r="O334" s="4" t="s">
        <v>2671</v>
      </c>
      <c r="P334" s="4" t="s">
        <v>2543</v>
      </c>
      <c r="Q334" s="4" t="s">
        <v>2528</v>
      </c>
      <c r="R334" s="4"/>
      <c r="S334" s="4"/>
      <c r="T334" s="4" t="str">
        <f>HYPERLINK("http://slimages.macys.com/is/image/MCY/19988445 ")</f>
        <v xml:space="preserve">http://slimages.macys.com/is/image/MCY/19988445 </v>
      </c>
    </row>
    <row r="335" spans="1:20" ht="15" customHeight="1" x14ac:dyDescent="0.25">
      <c r="A335" s="4" t="s">
        <v>2489</v>
      </c>
      <c r="B335" s="2" t="s">
        <v>2487</v>
      </c>
      <c r="C335" s="2" t="s">
        <v>2488</v>
      </c>
      <c r="D335" s="5" t="s">
        <v>2490</v>
      </c>
      <c r="E335" s="4" t="s">
        <v>2491</v>
      </c>
      <c r="F335" s="6">
        <v>14236763</v>
      </c>
      <c r="G335" s="3">
        <v>14236763</v>
      </c>
      <c r="H335" s="7">
        <v>194257518736</v>
      </c>
      <c r="I335" s="8" t="s">
        <v>3436</v>
      </c>
      <c r="J335" s="4">
        <v>1</v>
      </c>
      <c r="K335" s="9">
        <v>8.25</v>
      </c>
      <c r="L335" s="9">
        <v>8.25</v>
      </c>
      <c r="M335" s="4" t="s">
        <v>3274</v>
      </c>
      <c r="N335" s="4" t="s">
        <v>2514</v>
      </c>
      <c r="O335" s="4" t="s">
        <v>2524</v>
      </c>
      <c r="P335" s="4" t="s">
        <v>2619</v>
      </c>
      <c r="Q335" s="4" t="s">
        <v>2654</v>
      </c>
      <c r="R335" s="4"/>
      <c r="S335" s="4"/>
      <c r="T335" s="4" t="str">
        <f>HYPERLINK("http://slimages.macys.com/is/image/MCY/20099678 ")</f>
        <v xml:space="preserve">http://slimages.macys.com/is/image/MCY/20099678 </v>
      </c>
    </row>
    <row r="336" spans="1:20" ht="15" customHeight="1" x14ac:dyDescent="0.25">
      <c r="A336" s="4" t="s">
        <v>2489</v>
      </c>
      <c r="B336" s="2" t="s">
        <v>2487</v>
      </c>
      <c r="C336" s="2" t="s">
        <v>2488</v>
      </c>
      <c r="D336" s="5" t="s">
        <v>2490</v>
      </c>
      <c r="E336" s="4" t="s">
        <v>2491</v>
      </c>
      <c r="F336" s="6">
        <v>14236763</v>
      </c>
      <c r="G336" s="3">
        <v>14236763</v>
      </c>
      <c r="H336" s="7">
        <v>194257616913</v>
      </c>
      <c r="I336" s="8" t="s">
        <v>1836</v>
      </c>
      <c r="J336" s="4">
        <v>1</v>
      </c>
      <c r="K336" s="9">
        <v>12.99</v>
      </c>
      <c r="L336" s="9">
        <v>12.99</v>
      </c>
      <c r="M336" s="4" t="s">
        <v>1837</v>
      </c>
      <c r="N336" s="4" t="s">
        <v>2561</v>
      </c>
      <c r="O336" s="4" t="s">
        <v>2671</v>
      </c>
      <c r="P336" s="4" t="s">
        <v>2619</v>
      </c>
      <c r="Q336" s="4" t="s">
        <v>2500</v>
      </c>
      <c r="R336" s="4"/>
      <c r="S336" s="4"/>
      <c r="T336" s="4"/>
    </row>
    <row r="337" spans="1:20" ht="15" customHeight="1" x14ac:dyDescent="0.25">
      <c r="A337" s="4" t="s">
        <v>2489</v>
      </c>
      <c r="B337" s="2" t="s">
        <v>2487</v>
      </c>
      <c r="C337" s="2" t="s">
        <v>2488</v>
      </c>
      <c r="D337" s="5" t="s">
        <v>2490</v>
      </c>
      <c r="E337" s="4" t="s">
        <v>2491</v>
      </c>
      <c r="F337" s="6">
        <v>14236763</v>
      </c>
      <c r="G337" s="3">
        <v>14236763</v>
      </c>
      <c r="H337" s="7">
        <v>733003644154</v>
      </c>
      <c r="I337" s="8" t="s">
        <v>2997</v>
      </c>
      <c r="J337" s="4">
        <v>3</v>
      </c>
      <c r="K337" s="9">
        <v>15.99</v>
      </c>
      <c r="L337" s="9">
        <v>47.97</v>
      </c>
      <c r="M337" s="4" t="s">
        <v>2998</v>
      </c>
      <c r="N337" s="4" t="s">
        <v>2514</v>
      </c>
      <c r="O337" s="4">
        <v>5</v>
      </c>
      <c r="P337" s="4" t="s">
        <v>2515</v>
      </c>
      <c r="Q337" s="4" t="s">
        <v>2972</v>
      </c>
      <c r="R337" s="4"/>
      <c r="S337" s="4"/>
      <c r="T337" s="4" t="str">
        <f>HYPERLINK("http://slimages.macys.com/is/image/MCY/20008061 ")</f>
        <v xml:space="preserve">http://slimages.macys.com/is/image/MCY/20008061 </v>
      </c>
    </row>
    <row r="338" spans="1:20" ht="15" customHeight="1" x14ac:dyDescent="0.25">
      <c r="A338" s="4" t="s">
        <v>2489</v>
      </c>
      <c r="B338" s="2" t="s">
        <v>2487</v>
      </c>
      <c r="C338" s="2" t="s">
        <v>2488</v>
      </c>
      <c r="D338" s="5" t="s">
        <v>2490</v>
      </c>
      <c r="E338" s="4" t="s">
        <v>2491</v>
      </c>
      <c r="F338" s="6">
        <v>14236763</v>
      </c>
      <c r="G338" s="3">
        <v>14236763</v>
      </c>
      <c r="H338" s="7">
        <v>733003643690</v>
      </c>
      <c r="I338" s="8" t="s">
        <v>955</v>
      </c>
      <c r="J338" s="4">
        <v>1</v>
      </c>
      <c r="K338" s="9">
        <v>18.989999999999998</v>
      </c>
      <c r="L338" s="9">
        <v>18.989999999999998</v>
      </c>
      <c r="M338" s="4" t="s">
        <v>2984</v>
      </c>
      <c r="N338" s="4" t="s">
        <v>2561</v>
      </c>
      <c r="O338" s="4" t="s">
        <v>2653</v>
      </c>
      <c r="P338" s="4" t="s">
        <v>2515</v>
      </c>
      <c r="Q338" s="4" t="s">
        <v>2972</v>
      </c>
      <c r="R338" s="4"/>
      <c r="S338" s="4"/>
      <c r="T338" s="4" t="str">
        <f>HYPERLINK("http://slimages.macys.com/is/image/MCY/20008203 ")</f>
        <v xml:space="preserve">http://slimages.macys.com/is/image/MCY/20008203 </v>
      </c>
    </row>
    <row r="339" spans="1:20" ht="15" customHeight="1" x14ac:dyDescent="0.25">
      <c r="A339" s="4" t="s">
        <v>2489</v>
      </c>
      <c r="B339" s="2" t="s">
        <v>2487</v>
      </c>
      <c r="C339" s="2" t="s">
        <v>2488</v>
      </c>
      <c r="D339" s="5" t="s">
        <v>2490</v>
      </c>
      <c r="E339" s="4" t="s">
        <v>2491</v>
      </c>
      <c r="F339" s="6">
        <v>14236763</v>
      </c>
      <c r="G339" s="3">
        <v>14236763</v>
      </c>
      <c r="H339" s="7">
        <v>733003643645</v>
      </c>
      <c r="I339" s="8" t="s">
        <v>1590</v>
      </c>
      <c r="J339" s="4">
        <v>2</v>
      </c>
      <c r="K339" s="9">
        <v>18.989999999999998</v>
      </c>
      <c r="L339" s="9">
        <v>37.979999999999997</v>
      </c>
      <c r="M339" s="4" t="s">
        <v>2984</v>
      </c>
      <c r="N339" s="4" t="s">
        <v>2561</v>
      </c>
      <c r="O339" s="4">
        <v>5</v>
      </c>
      <c r="P339" s="4" t="s">
        <v>2515</v>
      </c>
      <c r="Q339" s="4" t="s">
        <v>2972</v>
      </c>
      <c r="R339" s="4"/>
      <c r="S339" s="4"/>
      <c r="T339" s="4" t="str">
        <f>HYPERLINK("http://slimages.macys.com/is/image/MCY/20008204 ")</f>
        <v xml:space="preserve">http://slimages.macys.com/is/image/MCY/20008204 </v>
      </c>
    </row>
    <row r="340" spans="1:20" ht="15" customHeight="1" x14ac:dyDescent="0.25">
      <c r="A340" s="4" t="s">
        <v>2489</v>
      </c>
      <c r="B340" s="2" t="s">
        <v>2487</v>
      </c>
      <c r="C340" s="2" t="s">
        <v>2488</v>
      </c>
      <c r="D340" s="5" t="s">
        <v>2490</v>
      </c>
      <c r="E340" s="4" t="s">
        <v>2491</v>
      </c>
      <c r="F340" s="6">
        <v>14236763</v>
      </c>
      <c r="G340" s="3">
        <v>14236763</v>
      </c>
      <c r="H340" s="7">
        <v>48283004131</v>
      </c>
      <c r="I340" s="8" t="s">
        <v>956</v>
      </c>
      <c r="J340" s="4">
        <v>1</v>
      </c>
      <c r="K340" s="9">
        <v>12.28</v>
      </c>
      <c r="L340" s="9">
        <v>12.28</v>
      </c>
      <c r="M340" s="4" t="s">
        <v>1416</v>
      </c>
      <c r="N340" s="4" t="s">
        <v>2523</v>
      </c>
      <c r="O340" s="4" t="s">
        <v>2519</v>
      </c>
      <c r="P340" s="4" t="s">
        <v>2622</v>
      </c>
      <c r="Q340" s="4" t="s">
        <v>2623</v>
      </c>
      <c r="R340" s="4" t="s">
        <v>2552</v>
      </c>
      <c r="S340" s="4" t="s">
        <v>2624</v>
      </c>
      <c r="T340" s="4" t="str">
        <f>HYPERLINK("http://slimages.macys.com/is/image/MCY/3616081 ")</f>
        <v xml:space="preserve">http://slimages.macys.com/is/image/MCY/3616081 </v>
      </c>
    </row>
    <row r="341" spans="1:20" ht="15" customHeight="1" x14ac:dyDescent="0.25">
      <c r="A341" s="4" t="s">
        <v>2489</v>
      </c>
      <c r="B341" s="2" t="s">
        <v>2487</v>
      </c>
      <c r="C341" s="2" t="s">
        <v>2488</v>
      </c>
      <c r="D341" s="5" t="s">
        <v>2490</v>
      </c>
      <c r="E341" s="4" t="s">
        <v>2491</v>
      </c>
      <c r="F341" s="6">
        <v>14236763</v>
      </c>
      <c r="G341" s="3">
        <v>14236763</v>
      </c>
      <c r="H341" s="7">
        <v>194257392398</v>
      </c>
      <c r="I341" s="8" t="s">
        <v>3242</v>
      </c>
      <c r="J341" s="4">
        <v>1</v>
      </c>
      <c r="K341" s="9">
        <v>16.989999999999998</v>
      </c>
      <c r="L341" s="9">
        <v>16.989999999999998</v>
      </c>
      <c r="M341" s="4" t="s">
        <v>2712</v>
      </c>
      <c r="N341" s="4" t="s">
        <v>2497</v>
      </c>
      <c r="O341" s="4">
        <v>4</v>
      </c>
      <c r="P341" s="4" t="s">
        <v>2499</v>
      </c>
      <c r="Q341" s="4" t="s">
        <v>2525</v>
      </c>
      <c r="R341" s="4"/>
      <c r="S341" s="4"/>
      <c r="T341" s="4" t="str">
        <f>HYPERLINK("http://slimages.macys.com/is/image/MCY/19065667 ")</f>
        <v xml:space="preserve">http://slimages.macys.com/is/image/MCY/19065667 </v>
      </c>
    </row>
    <row r="342" spans="1:20" ht="15" customHeight="1" x14ac:dyDescent="0.25">
      <c r="A342" s="4" t="s">
        <v>2489</v>
      </c>
      <c r="B342" s="2" t="s">
        <v>2487</v>
      </c>
      <c r="C342" s="2" t="s">
        <v>2488</v>
      </c>
      <c r="D342" s="5" t="s">
        <v>2490</v>
      </c>
      <c r="E342" s="4" t="s">
        <v>2491</v>
      </c>
      <c r="F342" s="6">
        <v>14236763</v>
      </c>
      <c r="G342" s="3">
        <v>14236763</v>
      </c>
      <c r="H342" s="7">
        <v>733004780226</v>
      </c>
      <c r="I342" s="8" t="s">
        <v>3203</v>
      </c>
      <c r="J342" s="4">
        <v>1</v>
      </c>
      <c r="K342" s="9">
        <v>7.99</v>
      </c>
      <c r="L342" s="9">
        <v>7.99</v>
      </c>
      <c r="M342" s="4" t="s">
        <v>3149</v>
      </c>
      <c r="N342" s="4" t="s">
        <v>2638</v>
      </c>
      <c r="O342" s="4" t="s">
        <v>2653</v>
      </c>
      <c r="P342" s="4" t="s">
        <v>2602</v>
      </c>
      <c r="Q342" s="4" t="s">
        <v>2528</v>
      </c>
      <c r="R342" s="4"/>
      <c r="S342" s="4"/>
      <c r="T342" s="4" t="str">
        <f>HYPERLINK("http://slimages.macys.com/is/image/MCY/20450168 ")</f>
        <v xml:space="preserve">http://slimages.macys.com/is/image/MCY/20450168 </v>
      </c>
    </row>
    <row r="343" spans="1:20" ht="15" customHeight="1" x14ac:dyDescent="0.25">
      <c r="A343" s="4" t="s">
        <v>2489</v>
      </c>
      <c r="B343" s="2" t="s">
        <v>2487</v>
      </c>
      <c r="C343" s="2" t="s">
        <v>2488</v>
      </c>
      <c r="D343" s="5" t="s">
        <v>2490</v>
      </c>
      <c r="E343" s="4" t="s">
        <v>2491</v>
      </c>
      <c r="F343" s="6">
        <v>14236763</v>
      </c>
      <c r="G343" s="3">
        <v>14236763</v>
      </c>
      <c r="H343" s="7">
        <v>733004748158</v>
      </c>
      <c r="I343" s="8" t="s">
        <v>957</v>
      </c>
      <c r="J343" s="4">
        <v>1</v>
      </c>
      <c r="K343" s="9">
        <v>7.99</v>
      </c>
      <c r="L343" s="9">
        <v>7.99</v>
      </c>
      <c r="M343" s="4" t="s">
        <v>2637</v>
      </c>
      <c r="N343" s="4" t="s">
        <v>2638</v>
      </c>
      <c r="O343" s="4" t="s">
        <v>2628</v>
      </c>
      <c r="P343" s="4" t="s">
        <v>2503</v>
      </c>
      <c r="Q343" s="4" t="s">
        <v>2504</v>
      </c>
      <c r="R343" s="4"/>
      <c r="S343" s="4"/>
      <c r="T343" s="4" t="str">
        <f>HYPERLINK("http://slimages.macys.com/is/image/MCY/19977505 ")</f>
        <v xml:space="preserve">http://slimages.macys.com/is/image/MCY/19977505 </v>
      </c>
    </row>
    <row r="344" spans="1:20" ht="15" customHeight="1" x14ac:dyDescent="0.25">
      <c r="A344" s="4" t="s">
        <v>2489</v>
      </c>
      <c r="B344" s="2" t="s">
        <v>2487</v>
      </c>
      <c r="C344" s="2" t="s">
        <v>2488</v>
      </c>
      <c r="D344" s="5" t="s">
        <v>2490</v>
      </c>
      <c r="E344" s="4" t="s">
        <v>2491</v>
      </c>
      <c r="F344" s="6">
        <v>14236763</v>
      </c>
      <c r="G344" s="3">
        <v>14236763</v>
      </c>
      <c r="H344" s="7">
        <v>195883381176</v>
      </c>
      <c r="I344" s="8" t="s">
        <v>958</v>
      </c>
      <c r="J344" s="4">
        <v>1</v>
      </c>
      <c r="K344" s="9">
        <v>12.99</v>
      </c>
      <c r="L344" s="9">
        <v>12.99</v>
      </c>
      <c r="M344" s="4" t="s">
        <v>959</v>
      </c>
      <c r="N344" s="4" t="s">
        <v>2501</v>
      </c>
      <c r="O344" s="4">
        <v>7</v>
      </c>
      <c r="P344" s="4" t="s">
        <v>2506</v>
      </c>
      <c r="Q344" s="4" t="s">
        <v>2527</v>
      </c>
      <c r="R344" s="4"/>
      <c r="S344" s="4"/>
      <c r="T344" s="4" t="str">
        <f>HYPERLINK("http://slimages.macys.com/is/image/MCY/20192137 ")</f>
        <v xml:space="preserve">http://slimages.macys.com/is/image/MCY/20192137 </v>
      </c>
    </row>
    <row r="345" spans="1:20" ht="15" customHeight="1" x14ac:dyDescent="0.25">
      <c r="A345" s="4" t="s">
        <v>2489</v>
      </c>
      <c r="B345" s="2" t="s">
        <v>2487</v>
      </c>
      <c r="C345" s="2" t="s">
        <v>2488</v>
      </c>
      <c r="D345" s="5" t="s">
        <v>2490</v>
      </c>
      <c r="E345" s="4" t="s">
        <v>2491</v>
      </c>
      <c r="F345" s="6">
        <v>14236763</v>
      </c>
      <c r="G345" s="3">
        <v>14236763</v>
      </c>
      <c r="H345" s="7">
        <v>733004722721</v>
      </c>
      <c r="I345" s="8" t="s">
        <v>3205</v>
      </c>
      <c r="J345" s="4">
        <v>2</v>
      </c>
      <c r="K345" s="9">
        <v>25.99</v>
      </c>
      <c r="L345" s="9">
        <v>51.98</v>
      </c>
      <c r="M345" s="4" t="s">
        <v>3193</v>
      </c>
      <c r="N345" s="4" t="s">
        <v>2530</v>
      </c>
      <c r="O345" s="4" t="s">
        <v>2493</v>
      </c>
      <c r="P345" s="4" t="s">
        <v>2503</v>
      </c>
      <c r="Q345" s="4" t="s">
        <v>2504</v>
      </c>
      <c r="R345" s="4"/>
      <c r="S345" s="4"/>
      <c r="T345" s="4" t="str">
        <f>HYPERLINK("http://slimages.macys.com/is/image/MCY/19977902 ")</f>
        <v xml:space="preserve">http://slimages.macys.com/is/image/MCY/19977902 </v>
      </c>
    </row>
    <row r="346" spans="1:20" ht="15" customHeight="1" x14ac:dyDescent="0.25">
      <c r="A346" s="4" t="s">
        <v>2489</v>
      </c>
      <c r="B346" s="2" t="s">
        <v>2487</v>
      </c>
      <c r="C346" s="2" t="s">
        <v>2488</v>
      </c>
      <c r="D346" s="5" t="s">
        <v>2490</v>
      </c>
      <c r="E346" s="4" t="s">
        <v>2491</v>
      </c>
      <c r="F346" s="6">
        <v>14236763</v>
      </c>
      <c r="G346" s="3">
        <v>14236763</v>
      </c>
      <c r="H346" s="7">
        <v>733003144357</v>
      </c>
      <c r="I346" s="8" t="s">
        <v>960</v>
      </c>
      <c r="J346" s="4">
        <v>1</v>
      </c>
      <c r="K346" s="9">
        <v>12.99</v>
      </c>
      <c r="L346" s="9">
        <v>12.99</v>
      </c>
      <c r="M346" s="4" t="s">
        <v>3096</v>
      </c>
      <c r="N346" s="4" t="s">
        <v>2665</v>
      </c>
      <c r="O346" s="4" t="s">
        <v>2601</v>
      </c>
      <c r="P346" s="4" t="s">
        <v>2503</v>
      </c>
      <c r="Q346" s="4" t="s">
        <v>2504</v>
      </c>
      <c r="R346" s="4"/>
      <c r="S346" s="4"/>
      <c r="T346" s="4" t="str">
        <f>HYPERLINK("http://slimages.macys.com/is/image/MCY/19218033 ")</f>
        <v xml:space="preserve">http://slimages.macys.com/is/image/MCY/19218033 </v>
      </c>
    </row>
    <row r="347" spans="1:20" ht="15" customHeight="1" x14ac:dyDescent="0.25">
      <c r="A347" s="4" t="s">
        <v>2489</v>
      </c>
      <c r="B347" s="2" t="s">
        <v>2487</v>
      </c>
      <c r="C347" s="2" t="s">
        <v>2488</v>
      </c>
      <c r="D347" s="5" t="s">
        <v>2490</v>
      </c>
      <c r="E347" s="4" t="s">
        <v>2491</v>
      </c>
      <c r="F347" s="6">
        <v>14236763</v>
      </c>
      <c r="G347" s="3">
        <v>14236763</v>
      </c>
      <c r="H347" s="7">
        <v>194870624982</v>
      </c>
      <c r="I347" s="8" t="s">
        <v>961</v>
      </c>
      <c r="J347" s="4">
        <v>1</v>
      </c>
      <c r="K347" s="9">
        <v>13.99</v>
      </c>
      <c r="L347" s="9">
        <v>13.99</v>
      </c>
      <c r="M347" s="4" t="s">
        <v>1616</v>
      </c>
      <c r="N347" s="4" t="s">
        <v>2567</v>
      </c>
      <c r="O347" s="4" t="s">
        <v>2705</v>
      </c>
      <c r="P347" s="4" t="s">
        <v>2499</v>
      </c>
      <c r="Q347" s="4" t="s">
        <v>2663</v>
      </c>
      <c r="R347" s="4"/>
      <c r="S347" s="4"/>
      <c r="T347" s="4" t="str">
        <f>HYPERLINK("http://slimages.macys.com/is/image/MCY/19719601 ")</f>
        <v xml:space="preserve">http://slimages.macys.com/is/image/MCY/19719601 </v>
      </c>
    </row>
    <row r="348" spans="1:20" ht="15" customHeight="1" x14ac:dyDescent="0.25">
      <c r="A348" s="4" t="s">
        <v>2489</v>
      </c>
      <c r="B348" s="2" t="s">
        <v>2487</v>
      </c>
      <c r="C348" s="2" t="s">
        <v>2488</v>
      </c>
      <c r="D348" s="5" t="s">
        <v>2490</v>
      </c>
      <c r="E348" s="4" t="s">
        <v>2491</v>
      </c>
      <c r="F348" s="6">
        <v>14236763</v>
      </c>
      <c r="G348" s="3">
        <v>14236763</v>
      </c>
      <c r="H348" s="7">
        <v>194870625019</v>
      </c>
      <c r="I348" s="8" t="s">
        <v>962</v>
      </c>
      <c r="J348" s="4">
        <v>1</v>
      </c>
      <c r="K348" s="9">
        <v>13.99</v>
      </c>
      <c r="L348" s="9">
        <v>13.99</v>
      </c>
      <c r="M348" s="4" t="s">
        <v>1616</v>
      </c>
      <c r="N348" s="4" t="s">
        <v>2567</v>
      </c>
      <c r="O348" s="4">
        <v>4</v>
      </c>
      <c r="P348" s="4" t="s">
        <v>2499</v>
      </c>
      <c r="Q348" s="4" t="s">
        <v>2663</v>
      </c>
      <c r="R348" s="4"/>
      <c r="S348" s="4"/>
      <c r="T348" s="4" t="str">
        <f>HYPERLINK("http://slimages.macys.com/is/image/MCY/19719601 ")</f>
        <v xml:space="preserve">http://slimages.macys.com/is/image/MCY/19719601 </v>
      </c>
    </row>
    <row r="349" spans="1:20" ht="15" customHeight="1" x14ac:dyDescent="0.25">
      <c r="A349" s="4" t="s">
        <v>2489</v>
      </c>
      <c r="B349" s="2" t="s">
        <v>2487</v>
      </c>
      <c r="C349" s="2" t="s">
        <v>2488</v>
      </c>
      <c r="D349" s="5" t="s">
        <v>2490</v>
      </c>
      <c r="E349" s="4" t="s">
        <v>2491</v>
      </c>
      <c r="F349" s="6">
        <v>14236763</v>
      </c>
      <c r="G349" s="3">
        <v>14236763</v>
      </c>
      <c r="H349" s="7">
        <v>195883922720</v>
      </c>
      <c r="I349" s="8" t="s">
        <v>3408</v>
      </c>
      <c r="J349" s="4">
        <v>1</v>
      </c>
      <c r="K349" s="9">
        <v>8.31</v>
      </c>
      <c r="L349" s="9">
        <v>8.31</v>
      </c>
      <c r="M349" s="4" t="s">
        <v>3409</v>
      </c>
      <c r="N349" s="4" t="s">
        <v>2567</v>
      </c>
      <c r="O349" s="4">
        <v>7</v>
      </c>
      <c r="P349" s="4" t="s">
        <v>2506</v>
      </c>
      <c r="Q349" s="4" t="s">
        <v>2527</v>
      </c>
      <c r="R349" s="4"/>
      <c r="S349" s="4"/>
      <c r="T349" s="4" t="str">
        <f>HYPERLINK("http://slimages.macys.com/is/image/MCY/20905075 ")</f>
        <v xml:space="preserve">http://slimages.macys.com/is/image/MCY/20905075 </v>
      </c>
    </row>
    <row r="350" spans="1:20" ht="15" customHeight="1" x14ac:dyDescent="0.25">
      <c r="A350" s="4" t="s">
        <v>2489</v>
      </c>
      <c r="B350" s="2" t="s">
        <v>2487</v>
      </c>
      <c r="C350" s="2" t="s">
        <v>2488</v>
      </c>
      <c r="D350" s="5" t="s">
        <v>2490</v>
      </c>
      <c r="E350" s="4" t="s">
        <v>2491</v>
      </c>
      <c r="F350" s="6">
        <v>14236763</v>
      </c>
      <c r="G350" s="3">
        <v>14236763</v>
      </c>
      <c r="H350" s="7">
        <v>733004738159</v>
      </c>
      <c r="I350" s="8" t="s">
        <v>963</v>
      </c>
      <c r="J350" s="4">
        <v>1</v>
      </c>
      <c r="K350" s="9">
        <v>6.99</v>
      </c>
      <c r="L350" s="9">
        <v>6.99</v>
      </c>
      <c r="M350" s="4" t="s">
        <v>2134</v>
      </c>
      <c r="N350" s="4" t="s">
        <v>2565</v>
      </c>
      <c r="O350" s="4" t="s">
        <v>2566</v>
      </c>
      <c r="P350" s="4" t="s">
        <v>2503</v>
      </c>
      <c r="Q350" s="4" t="s">
        <v>2504</v>
      </c>
      <c r="R350" s="4"/>
      <c r="S350" s="4"/>
      <c r="T350" s="4" t="str">
        <f>HYPERLINK("http://slimages.macys.com/is/image/MCY/19977849 ")</f>
        <v xml:space="preserve">http://slimages.macys.com/is/image/MCY/19977849 </v>
      </c>
    </row>
    <row r="351" spans="1:20" ht="15" customHeight="1" x14ac:dyDescent="0.25">
      <c r="A351" s="4" t="s">
        <v>2489</v>
      </c>
      <c r="B351" s="2" t="s">
        <v>2487</v>
      </c>
      <c r="C351" s="2" t="s">
        <v>2488</v>
      </c>
      <c r="D351" s="5" t="s">
        <v>2490</v>
      </c>
      <c r="E351" s="4" t="s">
        <v>2491</v>
      </c>
      <c r="F351" s="6">
        <v>14236763</v>
      </c>
      <c r="G351" s="3">
        <v>14236763</v>
      </c>
      <c r="H351" s="7">
        <v>733004739002</v>
      </c>
      <c r="I351" s="8" t="s">
        <v>964</v>
      </c>
      <c r="J351" s="4">
        <v>1</v>
      </c>
      <c r="K351" s="9">
        <v>6.99</v>
      </c>
      <c r="L351" s="9">
        <v>6.99</v>
      </c>
      <c r="M351" s="4" t="s">
        <v>965</v>
      </c>
      <c r="N351" s="4" t="s">
        <v>2561</v>
      </c>
      <c r="O351" s="4" t="s">
        <v>2502</v>
      </c>
      <c r="P351" s="4" t="s">
        <v>2503</v>
      </c>
      <c r="Q351" s="4" t="s">
        <v>2504</v>
      </c>
      <c r="R351" s="4"/>
      <c r="S351" s="4"/>
      <c r="T351" s="4" t="str">
        <f>HYPERLINK("http://slimages.macys.com/is/image/MCY/19977421 ")</f>
        <v xml:space="preserve">http://slimages.macys.com/is/image/MCY/19977421 </v>
      </c>
    </row>
    <row r="352" spans="1:20" ht="15" customHeight="1" x14ac:dyDescent="0.25">
      <c r="A352" s="4" t="s">
        <v>2489</v>
      </c>
      <c r="B352" s="2" t="s">
        <v>2487</v>
      </c>
      <c r="C352" s="2" t="s">
        <v>2488</v>
      </c>
      <c r="D352" s="5" t="s">
        <v>2490</v>
      </c>
      <c r="E352" s="4" t="s">
        <v>2491</v>
      </c>
      <c r="F352" s="6">
        <v>14236763</v>
      </c>
      <c r="G352" s="3">
        <v>14236763</v>
      </c>
      <c r="H352" s="7">
        <v>733004752933</v>
      </c>
      <c r="I352" s="8" t="s">
        <v>1593</v>
      </c>
      <c r="J352" s="4">
        <v>1</v>
      </c>
      <c r="K352" s="9">
        <v>14.99</v>
      </c>
      <c r="L352" s="9">
        <v>14.99</v>
      </c>
      <c r="M352" s="4" t="s">
        <v>2123</v>
      </c>
      <c r="N352" s="4" t="s">
        <v>2548</v>
      </c>
      <c r="O352" s="4" t="s">
        <v>2555</v>
      </c>
      <c r="P352" s="4" t="s">
        <v>2543</v>
      </c>
      <c r="Q352" s="4" t="s">
        <v>2528</v>
      </c>
      <c r="R352" s="4"/>
      <c r="S352" s="4"/>
      <c r="T352" s="4" t="str">
        <f>HYPERLINK("http://slimages.macys.com/is/image/MCY/20440836 ")</f>
        <v xml:space="preserve">http://slimages.macys.com/is/image/MCY/20440836 </v>
      </c>
    </row>
    <row r="353" spans="1:20" ht="15" customHeight="1" x14ac:dyDescent="0.25">
      <c r="A353" s="4" t="s">
        <v>2489</v>
      </c>
      <c r="B353" s="2" t="s">
        <v>2487</v>
      </c>
      <c r="C353" s="2" t="s">
        <v>2488</v>
      </c>
      <c r="D353" s="5" t="s">
        <v>2490</v>
      </c>
      <c r="E353" s="4" t="s">
        <v>2491</v>
      </c>
      <c r="F353" s="6">
        <v>14236763</v>
      </c>
      <c r="G353" s="3">
        <v>14236763</v>
      </c>
      <c r="H353" s="7">
        <v>762120689311</v>
      </c>
      <c r="I353" s="8" t="s">
        <v>2395</v>
      </c>
      <c r="J353" s="4">
        <v>1</v>
      </c>
      <c r="K353" s="9">
        <v>16.989999999999998</v>
      </c>
      <c r="L353" s="9">
        <v>16.989999999999998</v>
      </c>
      <c r="M353" s="4" t="s">
        <v>3031</v>
      </c>
      <c r="N353" s="4" t="s">
        <v>2518</v>
      </c>
      <c r="O353" s="4" t="s">
        <v>2555</v>
      </c>
      <c r="P353" s="4" t="s">
        <v>2515</v>
      </c>
      <c r="Q353" s="4" t="s">
        <v>2672</v>
      </c>
      <c r="R353" s="4"/>
      <c r="S353" s="4"/>
      <c r="T353" s="4" t="str">
        <f>HYPERLINK("http://slimages.macys.com/is/image/MCY/20549489 ")</f>
        <v xml:space="preserve">http://slimages.macys.com/is/image/MCY/20549489 </v>
      </c>
    </row>
    <row r="354" spans="1:20" ht="15" customHeight="1" x14ac:dyDescent="0.25">
      <c r="A354" s="4" t="s">
        <v>2489</v>
      </c>
      <c r="B354" s="2" t="s">
        <v>2487</v>
      </c>
      <c r="C354" s="2" t="s">
        <v>2488</v>
      </c>
      <c r="D354" s="5" t="s">
        <v>2490</v>
      </c>
      <c r="E354" s="4" t="s">
        <v>2491</v>
      </c>
      <c r="F354" s="6">
        <v>14236763</v>
      </c>
      <c r="G354" s="3">
        <v>14236763</v>
      </c>
      <c r="H354" s="7">
        <v>733004722462</v>
      </c>
      <c r="I354" s="8" t="s">
        <v>966</v>
      </c>
      <c r="J354" s="4">
        <v>1</v>
      </c>
      <c r="K354" s="9">
        <v>19.989999999999998</v>
      </c>
      <c r="L354" s="9">
        <v>19.989999999999998</v>
      </c>
      <c r="M354" s="4" t="s">
        <v>967</v>
      </c>
      <c r="N354" s="4" t="s">
        <v>2561</v>
      </c>
      <c r="O354" s="4"/>
      <c r="P354" s="4" t="s">
        <v>2503</v>
      </c>
      <c r="Q354" s="4" t="s">
        <v>2504</v>
      </c>
      <c r="R354" s="4"/>
      <c r="S354" s="4"/>
      <c r="T354" s="4" t="str">
        <f>HYPERLINK("http://slimages.macys.com/is/image/MCY/19978261 ")</f>
        <v xml:space="preserve">http://slimages.macys.com/is/image/MCY/19978261 </v>
      </c>
    </row>
    <row r="355" spans="1:20" ht="15" customHeight="1" x14ac:dyDescent="0.25">
      <c r="A355" s="4" t="s">
        <v>2489</v>
      </c>
      <c r="B355" s="2" t="s">
        <v>2487</v>
      </c>
      <c r="C355" s="2" t="s">
        <v>2488</v>
      </c>
      <c r="D355" s="5" t="s">
        <v>2490</v>
      </c>
      <c r="E355" s="4" t="s">
        <v>2491</v>
      </c>
      <c r="F355" s="6">
        <v>14236763</v>
      </c>
      <c r="G355" s="3">
        <v>14236763</v>
      </c>
      <c r="H355" s="7">
        <v>762120120135</v>
      </c>
      <c r="I355" s="8" t="s">
        <v>968</v>
      </c>
      <c r="J355" s="4">
        <v>1</v>
      </c>
      <c r="K355" s="9">
        <v>6.99</v>
      </c>
      <c r="L355" s="9">
        <v>6.99</v>
      </c>
      <c r="M355" s="4" t="s">
        <v>3378</v>
      </c>
      <c r="N355" s="4" t="s">
        <v>2497</v>
      </c>
      <c r="O355" s="4" t="s">
        <v>2601</v>
      </c>
      <c r="P355" s="4" t="s">
        <v>2503</v>
      </c>
      <c r="Q355" s="4" t="s">
        <v>2504</v>
      </c>
      <c r="R355" s="4"/>
      <c r="S355" s="4"/>
      <c r="T355" s="4" t="str">
        <f>HYPERLINK("http://slimages.macys.com/is/image/MCY/20386104 ")</f>
        <v xml:space="preserve">http://slimages.macys.com/is/image/MCY/20386104 </v>
      </c>
    </row>
    <row r="356" spans="1:20" ht="15" customHeight="1" x14ac:dyDescent="0.25">
      <c r="A356" s="4" t="s">
        <v>2489</v>
      </c>
      <c r="B356" s="2" t="s">
        <v>2487</v>
      </c>
      <c r="C356" s="2" t="s">
        <v>2488</v>
      </c>
      <c r="D356" s="5" t="s">
        <v>2490</v>
      </c>
      <c r="E356" s="4" t="s">
        <v>2491</v>
      </c>
      <c r="F356" s="6">
        <v>14236763</v>
      </c>
      <c r="G356" s="3">
        <v>14236763</v>
      </c>
      <c r="H356" s="7">
        <v>762120261319</v>
      </c>
      <c r="I356" s="8" t="s">
        <v>2061</v>
      </c>
      <c r="J356" s="4">
        <v>1</v>
      </c>
      <c r="K356" s="9">
        <v>19.989999999999998</v>
      </c>
      <c r="L356" s="9">
        <v>19.989999999999998</v>
      </c>
      <c r="M356" s="4" t="s">
        <v>2042</v>
      </c>
      <c r="N356" s="4" t="s">
        <v>2501</v>
      </c>
      <c r="O356" s="4" t="s">
        <v>2559</v>
      </c>
      <c r="P356" s="4" t="s">
        <v>2503</v>
      </c>
      <c r="Q356" s="4" t="s">
        <v>2504</v>
      </c>
      <c r="R356" s="4"/>
      <c r="S356" s="4"/>
      <c r="T356" s="4" t="str">
        <f>HYPERLINK("http://slimages.macys.com/is/image/MCY/1140631 ")</f>
        <v xml:space="preserve">http://slimages.macys.com/is/image/MCY/1140631 </v>
      </c>
    </row>
    <row r="357" spans="1:20" ht="15" customHeight="1" x14ac:dyDescent="0.25">
      <c r="A357" s="4" t="s">
        <v>2489</v>
      </c>
      <c r="B357" s="2" t="s">
        <v>2487</v>
      </c>
      <c r="C357" s="2" t="s">
        <v>2488</v>
      </c>
      <c r="D357" s="5" t="s">
        <v>2490</v>
      </c>
      <c r="E357" s="4" t="s">
        <v>2491</v>
      </c>
      <c r="F357" s="6">
        <v>14236763</v>
      </c>
      <c r="G357" s="3">
        <v>14236763</v>
      </c>
      <c r="H357" s="7">
        <v>733004780622</v>
      </c>
      <c r="I357" s="8" t="s">
        <v>3082</v>
      </c>
      <c r="J357" s="4">
        <v>2</v>
      </c>
      <c r="K357" s="9">
        <v>11.99</v>
      </c>
      <c r="L357" s="9">
        <v>23.98</v>
      </c>
      <c r="M357" s="4" t="s">
        <v>3083</v>
      </c>
      <c r="N357" s="4" t="s">
        <v>2638</v>
      </c>
      <c r="O357" s="4">
        <v>6</v>
      </c>
      <c r="P357" s="4" t="s">
        <v>2602</v>
      </c>
      <c r="Q357" s="4" t="s">
        <v>2528</v>
      </c>
      <c r="R357" s="4"/>
      <c r="S357" s="4"/>
      <c r="T357" s="4" t="str">
        <f>HYPERLINK("http://slimages.macys.com/is/image/MCY/1110249 ")</f>
        <v xml:space="preserve">http://slimages.macys.com/is/image/MCY/1110249 </v>
      </c>
    </row>
    <row r="358" spans="1:20" ht="15" customHeight="1" x14ac:dyDescent="0.25">
      <c r="A358" s="4" t="s">
        <v>2489</v>
      </c>
      <c r="B358" s="2" t="s">
        <v>2487</v>
      </c>
      <c r="C358" s="2" t="s">
        <v>2488</v>
      </c>
      <c r="D358" s="5" t="s">
        <v>2490</v>
      </c>
      <c r="E358" s="4" t="s">
        <v>2491</v>
      </c>
      <c r="F358" s="6">
        <v>14236763</v>
      </c>
      <c r="G358" s="3">
        <v>14236763</v>
      </c>
      <c r="H358" s="7">
        <v>193371845100</v>
      </c>
      <c r="I358" s="8" t="s">
        <v>969</v>
      </c>
      <c r="J358" s="4">
        <v>1</v>
      </c>
      <c r="K358" s="9">
        <v>26.99</v>
      </c>
      <c r="L358" s="9">
        <v>26.99</v>
      </c>
      <c r="M358" s="4" t="s">
        <v>1518</v>
      </c>
      <c r="N358" s="4" t="s">
        <v>2530</v>
      </c>
      <c r="O358" s="4" t="s">
        <v>2587</v>
      </c>
      <c r="P358" s="4" t="s">
        <v>2550</v>
      </c>
      <c r="Q358" s="4" t="s">
        <v>2792</v>
      </c>
      <c r="R358" s="4"/>
      <c r="S358" s="4"/>
      <c r="T358" s="4" t="str">
        <f>HYPERLINK("http://slimages.macys.com/is/image/MCY/19821434 ")</f>
        <v xml:space="preserve">http://slimages.macys.com/is/image/MCY/19821434 </v>
      </c>
    </row>
    <row r="359" spans="1:20" ht="15" customHeight="1" x14ac:dyDescent="0.25">
      <c r="A359" s="4" t="s">
        <v>2489</v>
      </c>
      <c r="B359" s="2" t="s">
        <v>2487</v>
      </c>
      <c r="C359" s="2" t="s">
        <v>2488</v>
      </c>
      <c r="D359" s="5" t="s">
        <v>2490</v>
      </c>
      <c r="E359" s="4" t="s">
        <v>2491</v>
      </c>
      <c r="F359" s="6">
        <v>14236763</v>
      </c>
      <c r="G359" s="3">
        <v>14236763</v>
      </c>
      <c r="H359" s="7">
        <v>733004952524</v>
      </c>
      <c r="I359" s="8" t="s">
        <v>970</v>
      </c>
      <c r="J359" s="4">
        <v>1</v>
      </c>
      <c r="K359" s="9">
        <v>13.99</v>
      </c>
      <c r="L359" s="9">
        <v>13.99</v>
      </c>
      <c r="M359" s="4" t="s">
        <v>2043</v>
      </c>
      <c r="N359" s="4" t="s">
        <v>2501</v>
      </c>
      <c r="O359" s="4" t="s">
        <v>2559</v>
      </c>
      <c r="P359" s="4" t="s">
        <v>2503</v>
      </c>
      <c r="Q359" s="4" t="s">
        <v>2504</v>
      </c>
      <c r="R359" s="4"/>
      <c r="S359" s="4"/>
      <c r="T359" s="4" t="str">
        <f>HYPERLINK("http://slimages.macys.com/is/image/MCY/20142394 ")</f>
        <v xml:space="preserve">http://slimages.macys.com/is/image/MCY/20142394 </v>
      </c>
    </row>
    <row r="360" spans="1:20" ht="15" customHeight="1" x14ac:dyDescent="0.25">
      <c r="A360" s="4" t="s">
        <v>2489</v>
      </c>
      <c r="B360" s="2" t="s">
        <v>2487</v>
      </c>
      <c r="C360" s="2" t="s">
        <v>2488</v>
      </c>
      <c r="D360" s="5" t="s">
        <v>2490</v>
      </c>
      <c r="E360" s="4" t="s">
        <v>2491</v>
      </c>
      <c r="F360" s="6">
        <v>14236763</v>
      </c>
      <c r="G360" s="3">
        <v>14236763</v>
      </c>
      <c r="H360" s="7">
        <v>733004293726</v>
      </c>
      <c r="I360" s="8" t="s">
        <v>1555</v>
      </c>
      <c r="J360" s="4">
        <v>1</v>
      </c>
      <c r="K360" s="9">
        <v>13.99</v>
      </c>
      <c r="L360" s="9">
        <v>13.99</v>
      </c>
      <c r="M360" s="4" t="s">
        <v>1267</v>
      </c>
      <c r="N360" s="4" t="s">
        <v>2600</v>
      </c>
      <c r="O360" s="4" t="s">
        <v>2559</v>
      </c>
      <c r="P360" s="4" t="s">
        <v>2503</v>
      </c>
      <c r="Q360" s="4" t="s">
        <v>2504</v>
      </c>
      <c r="R360" s="4"/>
      <c r="S360" s="4"/>
      <c r="T360" s="4" t="str">
        <f>HYPERLINK("http://slimages.macys.com/is/image/MCY/19754215 ")</f>
        <v xml:space="preserve">http://slimages.macys.com/is/image/MCY/19754215 </v>
      </c>
    </row>
    <row r="361" spans="1:20" ht="15" customHeight="1" x14ac:dyDescent="0.25">
      <c r="A361" s="4" t="s">
        <v>2489</v>
      </c>
      <c r="B361" s="2" t="s">
        <v>2487</v>
      </c>
      <c r="C361" s="2" t="s">
        <v>2488</v>
      </c>
      <c r="D361" s="5" t="s">
        <v>2490</v>
      </c>
      <c r="E361" s="4" t="s">
        <v>2491</v>
      </c>
      <c r="F361" s="6">
        <v>14236763</v>
      </c>
      <c r="G361" s="3">
        <v>14236763</v>
      </c>
      <c r="H361" s="7">
        <v>762120020176</v>
      </c>
      <c r="I361" s="8" t="s">
        <v>1254</v>
      </c>
      <c r="J361" s="4">
        <v>1</v>
      </c>
      <c r="K361" s="9">
        <v>6.99</v>
      </c>
      <c r="L361" s="9">
        <v>6.99</v>
      </c>
      <c r="M361" s="4" t="s">
        <v>3235</v>
      </c>
      <c r="N361" s="4" t="s">
        <v>2638</v>
      </c>
      <c r="O361" s="4" t="s">
        <v>2493</v>
      </c>
      <c r="P361" s="4" t="s">
        <v>2503</v>
      </c>
      <c r="Q361" s="4" t="s">
        <v>2504</v>
      </c>
      <c r="R361" s="4"/>
      <c r="S361" s="4"/>
      <c r="T361" s="4" t="str">
        <f>HYPERLINK("http://slimages.macys.com/is/image/MCY/20436495 ")</f>
        <v xml:space="preserve">http://slimages.macys.com/is/image/MCY/20436495 </v>
      </c>
    </row>
    <row r="362" spans="1:20" ht="15" customHeight="1" x14ac:dyDescent="0.25">
      <c r="A362" s="4" t="s">
        <v>2489</v>
      </c>
      <c r="B362" s="2" t="s">
        <v>2487</v>
      </c>
      <c r="C362" s="2" t="s">
        <v>2488</v>
      </c>
      <c r="D362" s="5" t="s">
        <v>2490</v>
      </c>
      <c r="E362" s="4" t="s">
        <v>2491</v>
      </c>
      <c r="F362" s="6">
        <v>14236763</v>
      </c>
      <c r="G362" s="3">
        <v>14236763</v>
      </c>
      <c r="H362" s="7">
        <v>733004722820</v>
      </c>
      <c r="I362" s="8" t="s">
        <v>2086</v>
      </c>
      <c r="J362" s="4">
        <v>2</v>
      </c>
      <c r="K362" s="9">
        <v>25.99</v>
      </c>
      <c r="L362" s="9">
        <v>51.98</v>
      </c>
      <c r="M362" s="4" t="s">
        <v>3193</v>
      </c>
      <c r="N362" s="4" t="s">
        <v>2530</v>
      </c>
      <c r="O362" s="4"/>
      <c r="P362" s="4" t="s">
        <v>2503</v>
      </c>
      <c r="Q362" s="4" t="s">
        <v>2504</v>
      </c>
      <c r="R362" s="4"/>
      <c r="S362" s="4"/>
      <c r="T362" s="4" t="str">
        <f>HYPERLINK("http://slimages.macys.com/is/image/MCY/19977902 ")</f>
        <v xml:space="preserve">http://slimages.macys.com/is/image/MCY/19977902 </v>
      </c>
    </row>
    <row r="363" spans="1:20" ht="15" customHeight="1" x14ac:dyDescent="0.25">
      <c r="A363" s="4" t="s">
        <v>2489</v>
      </c>
      <c r="B363" s="2" t="s">
        <v>2487</v>
      </c>
      <c r="C363" s="2" t="s">
        <v>2488</v>
      </c>
      <c r="D363" s="5" t="s">
        <v>2490</v>
      </c>
      <c r="E363" s="4" t="s">
        <v>2491</v>
      </c>
      <c r="F363" s="6">
        <v>14236763</v>
      </c>
      <c r="G363" s="3">
        <v>14236763</v>
      </c>
      <c r="H363" s="7">
        <v>733004722738</v>
      </c>
      <c r="I363" s="8" t="s">
        <v>1582</v>
      </c>
      <c r="J363" s="4">
        <v>2</v>
      </c>
      <c r="K363" s="9">
        <v>25.99</v>
      </c>
      <c r="L363" s="9">
        <v>51.98</v>
      </c>
      <c r="M363" s="4" t="s">
        <v>3193</v>
      </c>
      <c r="N363" s="4" t="s">
        <v>2530</v>
      </c>
      <c r="O363" s="4" t="s">
        <v>2502</v>
      </c>
      <c r="P363" s="4" t="s">
        <v>2503</v>
      </c>
      <c r="Q363" s="4" t="s">
        <v>2504</v>
      </c>
      <c r="R363" s="4"/>
      <c r="S363" s="4"/>
      <c r="T363" s="4" t="str">
        <f>HYPERLINK("http://slimages.macys.com/is/image/MCY/19977902 ")</f>
        <v xml:space="preserve">http://slimages.macys.com/is/image/MCY/19977902 </v>
      </c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workbookViewId="0">
      <selection activeCell="G31" sqref="G31"/>
    </sheetView>
  </sheetViews>
  <sheetFormatPr defaultRowHeight="15" x14ac:dyDescent="0.25"/>
  <cols>
    <col min="1" max="1" width="19.85546875" bestFit="1" customWidth="1"/>
    <col min="2" max="2" width="34.42578125" bestFit="1" customWidth="1"/>
    <col min="3" max="3" width="26" bestFit="1" customWidth="1"/>
    <col min="4" max="4" width="8.140625" bestFit="1" customWidth="1"/>
    <col min="5" max="5" width="9.85546875" bestFit="1" customWidth="1"/>
    <col min="6" max="7" width="9" bestFit="1" customWidth="1"/>
    <col min="8" max="8" width="14.140625" bestFit="1" customWidth="1"/>
    <col min="9" max="9" width="67.140625" bestFit="1" customWidth="1"/>
    <col min="10" max="11" width="8.7109375" bestFit="1" customWidth="1"/>
    <col min="12" max="12" width="14.7109375" bestFit="1" customWidth="1"/>
    <col min="13" max="13" width="21.5703125" bestFit="1" customWidth="1"/>
    <col min="14" max="14" width="12.28515625" bestFit="1" customWidth="1"/>
    <col min="15" max="15" width="10.28515625" bestFit="1" customWidth="1"/>
    <col min="16" max="16" width="15.7109375" bestFit="1" customWidth="1"/>
    <col min="17" max="17" width="39.85546875" bestFit="1" customWidth="1"/>
    <col min="18" max="18" width="9.85546875" bestFit="1" customWidth="1"/>
    <col min="19" max="19" width="61.5703125" bestFit="1" customWidth="1"/>
    <col min="20" max="20" width="42.85546875" bestFit="1" customWidth="1"/>
  </cols>
  <sheetData>
    <row r="1" spans="1:20" ht="24" x14ac:dyDescent="0.25">
      <c r="A1" s="1" t="s">
        <v>2480</v>
      </c>
      <c r="B1" s="1" t="s">
        <v>2482</v>
      </c>
      <c r="C1" s="1" t="s">
        <v>2483</v>
      </c>
      <c r="D1" s="1" t="s">
        <v>2572</v>
      </c>
      <c r="E1" s="1" t="s">
        <v>2573</v>
      </c>
      <c r="F1" s="1" t="s">
        <v>2481</v>
      </c>
      <c r="G1" s="1" t="s">
        <v>2574</v>
      </c>
      <c r="H1" s="1" t="s">
        <v>2575</v>
      </c>
      <c r="I1" s="1" t="s">
        <v>2576</v>
      </c>
      <c r="J1" s="1" t="s">
        <v>2577</v>
      </c>
      <c r="K1" s="1" t="s">
        <v>2485</v>
      </c>
      <c r="L1" s="1" t="s">
        <v>2578</v>
      </c>
      <c r="M1" s="1" t="s">
        <v>2579</v>
      </c>
      <c r="N1" s="1" t="s">
        <v>2580</v>
      </c>
      <c r="O1" s="1" t="s">
        <v>2581</v>
      </c>
      <c r="P1" s="1" t="s">
        <v>2582</v>
      </c>
      <c r="Q1" s="1" t="s">
        <v>2583</v>
      </c>
      <c r="R1" s="1" t="s">
        <v>2584</v>
      </c>
      <c r="S1" s="1" t="s">
        <v>2585</v>
      </c>
      <c r="T1" s="1" t="s">
        <v>2586</v>
      </c>
    </row>
    <row r="2" spans="1:20" ht="15" customHeight="1" x14ac:dyDescent="0.25">
      <c r="A2" s="4" t="s">
        <v>2489</v>
      </c>
      <c r="B2" s="2" t="s">
        <v>2487</v>
      </c>
      <c r="C2" s="2" t="s">
        <v>2488</v>
      </c>
      <c r="D2" s="5" t="s">
        <v>2490</v>
      </c>
      <c r="E2" s="4" t="s">
        <v>2491</v>
      </c>
      <c r="F2" s="6">
        <v>14236745</v>
      </c>
      <c r="G2" s="3">
        <v>14236745</v>
      </c>
      <c r="H2" s="7">
        <v>762120084758</v>
      </c>
      <c r="I2" s="8" t="s">
        <v>1177</v>
      </c>
      <c r="J2" s="4">
        <v>1</v>
      </c>
      <c r="K2" s="9">
        <v>7.99</v>
      </c>
      <c r="L2" s="9">
        <v>7.99</v>
      </c>
      <c r="M2" s="4" t="s">
        <v>3212</v>
      </c>
      <c r="N2" s="4" t="s">
        <v>2638</v>
      </c>
      <c r="O2" s="4" t="s">
        <v>2628</v>
      </c>
      <c r="P2" s="4" t="s">
        <v>2602</v>
      </c>
      <c r="Q2" s="4" t="s">
        <v>2528</v>
      </c>
      <c r="R2" s="4"/>
      <c r="S2" s="4"/>
      <c r="T2" s="4" t="str">
        <f>HYPERLINK("http://slimages.macys.com/is/image/MCY/1088549 ")</f>
        <v xml:space="preserve">http://slimages.macys.com/is/image/MCY/1088549 </v>
      </c>
    </row>
    <row r="3" spans="1:20" ht="15" customHeight="1" x14ac:dyDescent="0.25">
      <c r="A3" s="4" t="s">
        <v>2489</v>
      </c>
      <c r="B3" s="2" t="s">
        <v>2487</v>
      </c>
      <c r="C3" s="2" t="s">
        <v>2488</v>
      </c>
      <c r="D3" s="5" t="s">
        <v>2490</v>
      </c>
      <c r="E3" s="4" t="s">
        <v>2491</v>
      </c>
      <c r="F3" s="6">
        <v>14236745</v>
      </c>
      <c r="G3" s="3">
        <v>14236745</v>
      </c>
      <c r="H3" s="7">
        <v>492030649227</v>
      </c>
      <c r="I3" s="8" t="s">
        <v>1281</v>
      </c>
      <c r="J3" s="4">
        <v>12</v>
      </c>
      <c r="K3" s="9">
        <v>7.5</v>
      </c>
      <c r="L3" s="9">
        <v>90</v>
      </c>
      <c r="M3" s="4" t="s">
        <v>1281</v>
      </c>
      <c r="N3" s="4" t="s">
        <v>2769</v>
      </c>
      <c r="O3" s="4" t="s">
        <v>2669</v>
      </c>
      <c r="P3" s="4" t="s">
        <v>2494</v>
      </c>
      <c r="Q3" s="4" t="s">
        <v>2495</v>
      </c>
      <c r="R3" s="4"/>
      <c r="S3" s="4"/>
      <c r="T3" s="4"/>
    </row>
    <row r="4" spans="1:20" ht="15" customHeight="1" x14ac:dyDescent="0.25">
      <c r="A4" s="4" t="s">
        <v>2489</v>
      </c>
      <c r="B4" s="2" t="s">
        <v>2487</v>
      </c>
      <c r="C4" s="2" t="s">
        <v>2488</v>
      </c>
      <c r="D4" s="5" t="s">
        <v>2490</v>
      </c>
      <c r="E4" s="4" t="s">
        <v>2491</v>
      </c>
      <c r="F4" s="6">
        <v>14236745</v>
      </c>
      <c r="G4" s="3">
        <v>14236745</v>
      </c>
      <c r="H4" s="7">
        <v>733004722226</v>
      </c>
      <c r="I4" s="8" t="s">
        <v>971</v>
      </c>
      <c r="J4" s="4">
        <v>1</v>
      </c>
      <c r="K4" s="9">
        <v>18.989999999999998</v>
      </c>
      <c r="L4" s="9">
        <v>18.989999999999998</v>
      </c>
      <c r="M4" s="4" t="s">
        <v>3303</v>
      </c>
      <c r="N4" s="4" t="s">
        <v>2505</v>
      </c>
      <c r="O4" s="4" t="s">
        <v>2559</v>
      </c>
      <c r="P4" s="4" t="s">
        <v>2503</v>
      </c>
      <c r="Q4" s="4" t="s">
        <v>2504</v>
      </c>
      <c r="R4" s="4"/>
      <c r="S4" s="4"/>
      <c r="T4" s="4" t="str">
        <f>HYPERLINK("http://slimages.macys.com/is/image/MCY/19978179 ")</f>
        <v xml:space="preserve">http://slimages.macys.com/is/image/MCY/19978179 </v>
      </c>
    </row>
    <row r="5" spans="1:20" ht="15" customHeight="1" x14ac:dyDescent="0.25">
      <c r="A5" s="4" t="s">
        <v>2489</v>
      </c>
      <c r="B5" s="2" t="s">
        <v>2487</v>
      </c>
      <c r="C5" s="2" t="s">
        <v>2488</v>
      </c>
      <c r="D5" s="5" t="s">
        <v>2490</v>
      </c>
      <c r="E5" s="4" t="s">
        <v>2491</v>
      </c>
      <c r="F5" s="6">
        <v>14236745</v>
      </c>
      <c r="G5" s="3">
        <v>14236745</v>
      </c>
      <c r="H5" s="7">
        <v>733004883712</v>
      </c>
      <c r="I5" s="8" t="s">
        <v>1302</v>
      </c>
      <c r="J5" s="4">
        <v>1</v>
      </c>
      <c r="K5" s="9">
        <v>6.99</v>
      </c>
      <c r="L5" s="9">
        <v>6.99</v>
      </c>
      <c r="M5" s="4" t="s">
        <v>2826</v>
      </c>
      <c r="N5" s="4" t="s">
        <v>2505</v>
      </c>
      <c r="O5" s="4" t="s">
        <v>2601</v>
      </c>
      <c r="P5" s="4" t="s">
        <v>2503</v>
      </c>
      <c r="Q5" s="4" t="s">
        <v>2504</v>
      </c>
      <c r="R5" s="4"/>
      <c r="S5" s="4"/>
      <c r="T5" s="4" t="str">
        <f>HYPERLINK("http://slimages.macys.com/is/image/MCY/1070793 ")</f>
        <v xml:space="preserve">http://slimages.macys.com/is/image/MCY/1070793 </v>
      </c>
    </row>
    <row r="6" spans="1:20" ht="15" customHeight="1" x14ac:dyDescent="0.25">
      <c r="A6" s="4" t="s">
        <v>2489</v>
      </c>
      <c r="B6" s="2" t="s">
        <v>2487</v>
      </c>
      <c r="C6" s="2" t="s">
        <v>2488</v>
      </c>
      <c r="D6" s="5" t="s">
        <v>2490</v>
      </c>
      <c r="E6" s="4" t="s">
        <v>2491</v>
      </c>
      <c r="F6" s="6">
        <v>14236745</v>
      </c>
      <c r="G6" s="3">
        <v>14236745</v>
      </c>
      <c r="H6" s="7">
        <v>742728813486</v>
      </c>
      <c r="I6" s="8" t="s">
        <v>972</v>
      </c>
      <c r="J6" s="4">
        <v>1</v>
      </c>
      <c r="K6" s="9">
        <v>34.99</v>
      </c>
      <c r="L6" s="9">
        <v>34.99</v>
      </c>
      <c r="M6" s="4" t="s">
        <v>1814</v>
      </c>
      <c r="N6" s="4" t="s">
        <v>2664</v>
      </c>
      <c r="O6" s="4" t="s">
        <v>2524</v>
      </c>
      <c r="P6" s="4" t="s">
        <v>2499</v>
      </c>
      <c r="Q6" s="4" t="s">
        <v>3093</v>
      </c>
      <c r="R6" s="4"/>
      <c r="S6" s="4"/>
      <c r="T6" s="4" t="str">
        <f>HYPERLINK("http://slimages.macys.com/is/image/MCY/20168608 ")</f>
        <v xml:space="preserve">http://slimages.macys.com/is/image/MCY/20168608 </v>
      </c>
    </row>
    <row r="7" spans="1:20" ht="15" customHeight="1" x14ac:dyDescent="0.25">
      <c r="A7" s="4" t="s">
        <v>2489</v>
      </c>
      <c r="B7" s="2" t="s">
        <v>2487</v>
      </c>
      <c r="C7" s="2" t="s">
        <v>2488</v>
      </c>
      <c r="D7" s="5" t="s">
        <v>2490</v>
      </c>
      <c r="E7" s="4" t="s">
        <v>2491</v>
      </c>
      <c r="F7" s="6">
        <v>14236745</v>
      </c>
      <c r="G7" s="3">
        <v>14236745</v>
      </c>
      <c r="H7" s="7">
        <v>733004748325</v>
      </c>
      <c r="I7" s="8" t="s">
        <v>1443</v>
      </c>
      <c r="J7" s="4">
        <v>1</v>
      </c>
      <c r="K7" s="9">
        <v>7.99</v>
      </c>
      <c r="L7" s="9">
        <v>7.99</v>
      </c>
      <c r="M7" s="4" t="s">
        <v>1444</v>
      </c>
      <c r="N7" s="4" t="s">
        <v>2531</v>
      </c>
      <c r="O7" s="4" t="s">
        <v>2628</v>
      </c>
      <c r="P7" s="4" t="s">
        <v>2503</v>
      </c>
      <c r="Q7" s="4" t="s">
        <v>2504</v>
      </c>
      <c r="R7" s="4"/>
      <c r="S7" s="4"/>
      <c r="T7" s="4" t="str">
        <f>HYPERLINK("http://slimages.macys.com/is/image/MCY/19977416 ")</f>
        <v xml:space="preserve">http://slimages.macys.com/is/image/MCY/19977416 </v>
      </c>
    </row>
    <row r="8" spans="1:20" ht="15" customHeight="1" x14ac:dyDescent="0.25">
      <c r="A8" s="4" t="s">
        <v>2489</v>
      </c>
      <c r="B8" s="2" t="s">
        <v>2487</v>
      </c>
      <c r="C8" s="2" t="s">
        <v>2488</v>
      </c>
      <c r="D8" s="5" t="s">
        <v>2490</v>
      </c>
      <c r="E8" s="4" t="s">
        <v>2491</v>
      </c>
      <c r="F8" s="6">
        <v>14236745</v>
      </c>
      <c r="G8" s="3">
        <v>14236745</v>
      </c>
      <c r="H8" s="7">
        <v>195958155466</v>
      </c>
      <c r="I8" s="8" t="s">
        <v>973</v>
      </c>
      <c r="J8" s="4">
        <v>1</v>
      </c>
      <c r="K8" s="9">
        <v>19.989999999999998</v>
      </c>
      <c r="L8" s="9">
        <v>19.989999999999998</v>
      </c>
      <c r="M8" s="4" t="s">
        <v>974</v>
      </c>
      <c r="N8" s="4" t="s">
        <v>2544</v>
      </c>
      <c r="O8" s="4" t="s">
        <v>2502</v>
      </c>
      <c r="P8" s="4" t="s">
        <v>2562</v>
      </c>
      <c r="Q8" s="4" t="s">
        <v>2951</v>
      </c>
      <c r="R8" s="4"/>
      <c r="S8" s="4"/>
      <c r="T8" s="4" t="str">
        <f>HYPERLINK("http://slimages.macys.com/is/image/MCY/20881214 ")</f>
        <v xml:space="preserve">http://slimages.macys.com/is/image/MCY/20881214 </v>
      </c>
    </row>
    <row r="9" spans="1:20" ht="15" customHeight="1" x14ac:dyDescent="0.25">
      <c r="A9" s="4" t="s">
        <v>2489</v>
      </c>
      <c r="B9" s="2" t="s">
        <v>2487</v>
      </c>
      <c r="C9" s="2" t="s">
        <v>2488</v>
      </c>
      <c r="D9" s="5" t="s">
        <v>2490</v>
      </c>
      <c r="E9" s="4" t="s">
        <v>2491</v>
      </c>
      <c r="F9" s="6">
        <v>14236745</v>
      </c>
      <c r="G9" s="3">
        <v>14236745</v>
      </c>
      <c r="H9" s="7">
        <v>733003925543</v>
      </c>
      <c r="I9" s="8" t="s">
        <v>975</v>
      </c>
      <c r="J9" s="4">
        <v>1</v>
      </c>
      <c r="K9" s="9">
        <v>7.99</v>
      </c>
      <c r="L9" s="9">
        <v>7.99</v>
      </c>
      <c r="M9" s="4" t="s">
        <v>2757</v>
      </c>
      <c r="N9" s="4" t="s">
        <v>2638</v>
      </c>
      <c r="O9" s="4" t="s">
        <v>2628</v>
      </c>
      <c r="P9" s="4" t="s">
        <v>2503</v>
      </c>
      <c r="Q9" s="4" t="s">
        <v>2504</v>
      </c>
      <c r="R9" s="4"/>
      <c r="S9" s="4"/>
      <c r="T9" s="4" t="str">
        <f>HYPERLINK("http://slimages.macys.com/is/image/MCY/8695857 ")</f>
        <v xml:space="preserve">http://slimages.macys.com/is/image/MCY/8695857 </v>
      </c>
    </row>
    <row r="10" spans="1:20" ht="15" customHeight="1" x14ac:dyDescent="0.25">
      <c r="A10" s="4" t="s">
        <v>2489</v>
      </c>
      <c r="B10" s="2" t="s">
        <v>2487</v>
      </c>
      <c r="C10" s="2" t="s">
        <v>2488</v>
      </c>
      <c r="D10" s="5" t="s">
        <v>2490</v>
      </c>
      <c r="E10" s="4" t="s">
        <v>2491</v>
      </c>
      <c r="F10" s="6">
        <v>14236745</v>
      </c>
      <c r="G10" s="3">
        <v>14236745</v>
      </c>
      <c r="H10" s="7">
        <v>194257384690</v>
      </c>
      <c r="I10" s="8" t="s">
        <v>1621</v>
      </c>
      <c r="J10" s="4">
        <v>1</v>
      </c>
      <c r="K10" s="9">
        <v>18.989999999999998</v>
      </c>
      <c r="L10" s="9">
        <v>18.989999999999998</v>
      </c>
      <c r="M10" s="4" t="s">
        <v>3226</v>
      </c>
      <c r="N10" s="4" t="s">
        <v>2567</v>
      </c>
      <c r="O10" s="4">
        <v>7</v>
      </c>
      <c r="P10" s="4" t="s">
        <v>2499</v>
      </c>
      <c r="Q10" s="4" t="s">
        <v>2525</v>
      </c>
      <c r="R10" s="4"/>
      <c r="S10" s="4"/>
      <c r="T10" s="4" t="str">
        <f>HYPERLINK("http://slimages.macys.com/is/image/MCY/19944395 ")</f>
        <v xml:space="preserve">http://slimages.macys.com/is/image/MCY/19944395 </v>
      </c>
    </row>
    <row r="11" spans="1:20" ht="15" customHeight="1" x14ac:dyDescent="0.25">
      <c r="A11" s="4" t="s">
        <v>2489</v>
      </c>
      <c r="B11" s="2" t="s">
        <v>2487</v>
      </c>
      <c r="C11" s="2" t="s">
        <v>2488</v>
      </c>
      <c r="D11" s="5" t="s">
        <v>2490</v>
      </c>
      <c r="E11" s="4" t="s">
        <v>2491</v>
      </c>
      <c r="F11" s="6">
        <v>14236745</v>
      </c>
      <c r="G11" s="3">
        <v>14236745</v>
      </c>
      <c r="H11" s="7">
        <v>733004742897</v>
      </c>
      <c r="I11" s="8" t="s">
        <v>976</v>
      </c>
      <c r="J11" s="4">
        <v>1</v>
      </c>
      <c r="K11" s="9">
        <v>7.99</v>
      </c>
      <c r="L11" s="9">
        <v>7.99</v>
      </c>
      <c r="M11" s="4" t="s">
        <v>1184</v>
      </c>
      <c r="N11" s="4" t="s">
        <v>2638</v>
      </c>
      <c r="O11" s="4" t="s">
        <v>2650</v>
      </c>
      <c r="P11" s="4" t="s">
        <v>2503</v>
      </c>
      <c r="Q11" s="4" t="s">
        <v>2504</v>
      </c>
      <c r="R11" s="4"/>
      <c r="S11" s="4"/>
      <c r="T11" s="4" t="str">
        <f>HYPERLINK("http://slimages.macys.com/is/image/MCY/19983979 ")</f>
        <v xml:space="preserve">http://slimages.macys.com/is/image/MCY/19983979 </v>
      </c>
    </row>
    <row r="12" spans="1:20" ht="15" customHeight="1" x14ac:dyDescent="0.25">
      <c r="A12" s="4" t="s">
        <v>2489</v>
      </c>
      <c r="B12" s="2" t="s">
        <v>2487</v>
      </c>
      <c r="C12" s="2" t="s">
        <v>2488</v>
      </c>
      <c r="D12" s="5" t="s">
        <v>2490</v>
      </c>
      <c r="E12" s="4" t="s">
        <v>2491</v>
      </c>
      <c r="F12" s="6">
        <v>14236745</v>
      </c>
      <c r="G12" s="3">
        <v>14236745</v>
      </c>
      <c r="H12" s="7">
        <v>732999992201</v>
      </c>
      <c r="I12" s="8" t="s">
        <v>2076</v>
      </c>
      <c r="J12" s="4">
        <v>1</v>
      </c>
      <c r="K12" s="9">
        <v>6.99</v>
      </c>
      <c r="L12" s="9">
        <v>6.99</v>
      </c>
      <c r="M12" s="4" t="s">
        <v>2892</v>
      </c>
      <c r="N12" s="4" t="s">
        <v>2497</v>
      </c>
      <c r="O12" s="4" t="s">
        <v>2555</v>
      </c>
      <c r="P12" s="4" t="s">
        <v>2543</v>
      </c>
      <c r="Q12" s="4" t="s">
        <v>2528</v>
      </c>
      <c r="R12" s="4"/>
      <c r="S12" s="4"/>
      <c r="T12" s="4" t="str">
        <f>HYPERLINK("http://slimages.macys.com/is/image/MCY/17688402 ")</f>
        <v xml:space="preserve">http://slimages.macys.com/is/image/MCY/17688402 </v>
      </c>
    </row>
    <row r="13" spans="1:20" ht="15" customHeight="1" x14ac:dyDescent="0.25">
      <c r="A13" s="4" t="s">
        <v>2489</v>
      </c>
      <c r="B13" s="2" t="s">
        <v>2487</v>
      </c>
      <c r="C13" s="2" t="s">
        <v>2488</v>
      </c>
      <c r="D13" s="5" t="s">
        <v>2490</v>
      </c>
      <c r="E13" s="4" t="s">
        <v>2491</v>
      </c>
      <c r="F13" s="6">
        <v>14236745</v>
      </c>
      <c r="G13" s="3">
        <v>14236745</v>
      </c>
      <c r="H13" s="7">
        <v>733004801389</v>
      </c>
      <c r="I13" s="8" t="s">
        <v>977</v>
      </c>
      <c r="J13" s="4">
        <v>1</v>
      </c>
      <c r="K13" s="9">
        <v>12.99</v>
      </c>
      <c r="L13" s="9">
        <v>12.99</v>
      </c>
      <c r="M13" s="4" t="s">
        <v>1792</v>
      </c>
      <c r="N13" s="4" t="s">
        <v>2561</v>
      </c>
      <c r="O13" s="4" t="s">
        <v>2653</v>
      </c>
      <c r="P13" s="4" t="s">
        <v>2602</v>
      </c>
      <c r="Q13" s="4" t="s">
        <v>2528</v>
      </c>
      <c r="R13" s="4"/>
      <c r="S13" s="4"/>
      <c r="T13" s="4" t="str">
        <f>HYPERLINK("http://slimages.macys.com/is/image/MCY/1059791 ")</f>
        <v xml:space="preserve">http://slimages.macys.com/is/image/MCY/1059791 </v>
      </c>
    </row>
    <row r="14" spans="1:20" ht="15" customHeight="1" x14ac:dyDescent="0.25">
      <c r="A14" s="4" t="s">
        <v>2489</v>
      </c>
      <c r="B14" s="2" t="s">
        <v>2487</v>
      </c>
      <c r="C14" s="2" t="s">
        <v>2488</v>
      </c>
      <c r="D14" s="5" t="s">
        <v>2490</v>
      </c>
      <c r="E14" s="4" t="s">
        <v>2491</v>
      </c>
      <c r="F14" s="6">
        <v>14236745</v>
      </c>
      <c r="G14" s="3">
        <v>14236745</v>
      </c>
      <c r="H14" s="7">
        <v>733004031205</v>
      </c>
      <c r="I14" s="8" t="s">
        <v>978</v>
      </c>
      <c r="J14" s="4">
        <v>1</v>
      </c>
      <c r="K14" s="9">
        <v>19.989999999999998</v>
      </c>
      <c r="L14" s="9">
        <v>19.989999999999998</v>
      </c>
      <c r="M14" s="4" t="s">
        <v>1576</v>
      </c>
      <c r="N14" s="4" t="s">
        <v>2514</v>
      </c>
      <c r="O14" s="4" t="s">
        <v>2650</v>
      </c>
      <c r="P14" s="4" t="s">
        <v>2602</v>
      </c>
      <c r="Q14" s="4" t="s">
        <v>2528</v>
      </c>
      <c r="R14" s="4"/>
      <c r="S14" s="4"/>
      <c r="T14" s="4" t="str">
        <f>HYPERLINK("http://slimages.macys.com/is/image/MCY/19943780 ")</f>
        <v xml:space="preserve">http://slimages.macys.com/is/image/MCY/19943780 </v>
      </c>
    </row>
    <row r="15" spans="1:20" ht="15" customHeight="1" x14ac:dyDescent="0.25">
      <c r="A15" s="4" t="s">
        <v>2489</v>
      </c>
      <c r="B15" s="2" t="s">
        <v>2487</v>
      </c>
      <c r="C15" s="2" t="s">
        <v>2488</v>
      </c>
      <c r="D15" s="5" t="s">
        <v>2490</v>
      </c>
      <c r="E15" s="4" t="s">
        <v>2491</v>
      </c>
      <c r="F15" s="6">
        <v>14236745</v>
      </c>
      <c r="G15" s="3">
        <v>14236745</v>
      </c>
      <c r="H15" s="7">
        <v>733004765001</v>
      </c>
      <c r="I15" s="8" t="s">
        <v>1250</v>
      </c>
      <c r="J15" s="4">
        <v>1</v>
      </c>
      <c r="K15" s="9">
        <v>21.99</v>
      </c>
      <c r="L15" s="9">
        <v>21.99</v>
      </c>
      <c r="M15" s="4" t="s">
        <v>3428</v>
      </c>
      <c r="N15" s="4" t="s">
        <v>2598</v>
      </c>
      <c r="O15" s="4" t="s">
        <v>2519</v>
      </c>
      <c r="P15" s="4" t="s">
        <v>2515</v>
      </c>
      <c r="Q15" s="4" t="s">
        <v>2672</v>
      </c>
      <c r="R15" s="4"/>
      <c r="S15" s="4"/>
      <c r="T15" s="4" t="str">
        <f>HYPERLINK("http://slimages.macys.com/is/image/MCY/20530565 ")</f>
        <v xml:space="preserve">http://slimages.macys.com/is/image/MCY/20530565 </v>
      </c>
    </row>
    <row r="16" spans="1:20" ht="15" customHeight="1" x14ac:dyDescent="0.25">
      <c r="A16" s="4" t="s">
        <v>2489</v>
      </c>
      <c r="B16" s="2" t="s">
        <v>2487</v>
      </c>
      <c r="C16" s="2" t="s">
        <v>2488</v>
      </c>
      <c r="D16" s="5" t="s">
        <v>2490</v>
      </c>
      <c r="E16" s="4" t="s">
        <v>2491</v>
      </c>
      <c r="F16" s="6">
        <v>14236745</v>
      </c>
      <c r="G16" s="3">
        <v>14236745</v>
      </c>
      <c r="H16" s="7">
        <v>696114426296</v>
      </c>
      <c r="I16" s="8" t="s">
        <v>1471</v>
      </c>
      <c r="J16" s="4">
        <v>1</v>
      </c>
      <c r="K16" s="9">
        <v>19.989999999999998</v>
      </c>
      <c r="L16" s="9">
        <v>19.989999999999998</v>
      </c>
      <c r="M16" s="4" t="s">
        <v>1472</v>
      </c>
      <c r="N16" s="4" t="s">
        <v>2523</v>
      </c>
      <c r="O16" s="4"/>
      <c r="P16" s="4" t="s">
        <v>2569</v>
      </c>
      <c r="Q16" s="4" t="s">
        <v>2732</v>
      </c>
      <c r="R16" s="4"/>
      <c r="S16" s="4"/>
      <c r="T16" s="4" t="str">
        <f>HYPERLINK("http://slimages.macys.com/is/image/MCY/20291055 ")</f>
        <v xml:space="preserve">http://slimages.macys.com/is/image/MCY/20291055 </v>
      </c>
    </row>
    <row r="17" spans="1:20" ht="15" customHeight="1" x14ac:dyDescent="0.25">
      <c r="A17" s="4" t="s">
        <v>2489</v>
      </c>
      <c r="B17" s="2" t="s">
        <v>2487</v>
      </c>
      <c r="C17" s="2" t="s">
        <v>2488</v>
      </c>
      <c r="D17" s="5" t="s">
        <v>2490</v>
      </c>
      <c r="E17" s="4" t="s">
        <v>2491</v>
      </c>
      <c r="F17" s="6">
        <v>14236745</v>
      </c>
      <c r="G17" s="3">
        <v>14236745</v>
      </c>
      <c r="H17" s="7">
        <v>733004723100</v>
      </c>
      <c r="I17" s="8" t="s">
        <v>944</v>
      </c>
      <c r="J17" s="4">
        <v>1</v>
      </c>
      <c r="K17" s="9">
        <v>25.99</v>
      </c>
      <c r="L17" s="9">
        <v>25.99</v>
      </c>
      <c r="M17" s="4" t="s">
        <v>3178</v>
      </c>
      <c r="N17" s="4" t="s">
        <v>2518</v>
      </c>
      <c r="O17" s="4" t="s">
        <v>2493</v>
      </c>
      <c r="P17" s="4" t="s">
        <v>2503</v>
      </c>
      <c r="Q17" s="4" t="s">
        <v>2504</v>
      </c>
      <c r="R17" s="4"/>
      <c r="S17" s="4"/>
      <c r="T17" s="4" t="str">
        <f>HYPERLINK("http://slimages.macys.com/is/image/MCY/1041651 ")</f>
        <v xml:space="preserve">http://slimages.macys.com/is/image/MCY/1041651 </v>
      </c>
    </row>
    <row r="18" spans="1:20" ht="15" customHeight="1" x14ac:dyDescent="0.25">
      <c r="A18" s="4" t="s">
        <v>2489</v>
      </c>
      <c r="B18" s="2" t="s">
        <v>2487</v>
      </c>
      <c r="C18" s="2" t="s">
        <v>2488</v>
      </c>
      <c r="D18" s="5" t="s">
        <v>2490</v>
      </c>
      <c r="E18" s="4" t="s">
        <v>2491</v>
      </c>
      <c r="F18" s="6">
        <v>14236745</v>
      </c>
      <c r="G18" s="3">
        <v>14236745</v>
      </c>
      <c r="H18" s="7">
        <v>733004591822</v>
      </c>
      <c r="I18" s="8" t="s">
        <v>2843</v>
      </c>
      <c r="J18" s="4">
        <v>1</v>
      </c>
      <c r="K18" s="9">
        <v>17.989999999999998</v>
      </c>
      <c r="L18" s="9">
        <v>17.989999999999998</v>
      </c>
      <c r="M18" s="4">
        <v>10013097300</v>
      </c>
      <c r="N18" s="4" t="s">
        <v>2600</v>
      </c>
      <c r="O18" s="4" t="s">
        <v>2831</v>
      </c>
      <c r="P18" s="4" t="s">
        <v>2503</v>
      </c>
      <c r="Q18" s="4" t="s">
        <v>2504</v>
      </c>
      <c r="R18" s="4"/>
      <c r="S18" s="4"/>
      <c r="T18" s="4" t="str">
        <f>HYPERLINK("http://slimages.macys.com/is/image/MCY/19755903 ")</f>
        <v xml:space="preserve">http://slimages.macys.com/is/image/MCY/19755903 </v>
      </c>
    </row>
    <row r="19" spans="1:20" ht="15" customHeight="1" x14ac:dyDescent="0.25">
      <c r="A19" s="4" t="s">
        <v>2489</v>
      </c>
      <c r="B19" s="2" t="s">
        <v>2487</v>
      </c>
      <c r="C19" s="2" t="s">
        <v>2488</v>
      </c>
      <c r="D19" s="5" t="s">
        <v>2490</v>
      </c>
      <c r="E19" s="4" t="s">
        <v>2491</v>
      </c>
      <c r="F19" s="6">
        <v>14236745</v>
      </c>
      <c r="G19" s="3">
        <v>14236745</v>
      </c>
      <c r="H19" s="7">
        <v>726108380010</v>
      </c>
      <c r="I19" s="8" t="s">
        <v>979</v>
      </c>
      <c r="J19" s="4">
        <v>2</v>
      </c>
      <c r="K19" s="9">
        <v>44.99</v>
      </c>
      <c r="L19" s="9">
        <v>89.98</v>
      </c>
      <c r="M19" s="4" t="s">
        <v>3163</v>
      </c>
      <c r="N19" s="4" t="s">
        <v>2611</v>
      </c>
      <c r="O19" s="4" t="s">
        <v>2653</v>
      </c>
      <c r="P19" s="4" t="s">
        <v>2550</v>
      </c>
      <c r="Q19" s="4" t="s">
        <v>2706</v>
      </c>
      <c r="R19" s="4"/>
      <c r="S19" s="4"/>
      <c r="T19" s="4" t="str">
        <f>HYPERLINK("http://slimages.macys.com/is/image/MCY/19908997 ")</f>
        <v xml:space="preserve">http://slimages.macys.com/is/image/MCY/19908997 </v>
      </c>
    </row>
    <row r="20" spans="1:20" ht="15" customHeight="1" x14ac:dyDescent="0.25">
      <c r="A20" s="4" t="s">
        <v>2489</v>
      </c>
      <c r="B20" s="2" t="s">
        <v>2487</v>
      </c>
      <c r="C20" s="2" t="s">
        <v>2488</v>
      </c>
      <c r="D20" s="5" t="s">
        <v>2490</v>
      </c>
      <c r="E20" s="4" t="s">
        <v>2491</v>
      </c>
      <c r="F20" s="6">
        <v>14236745</v>
      </c>
      <c r="G20" s="3">
        <v>14236745</v>
      </c>
      <c r="H20" s="7">
        <v>733004780110</v>
      </c>
      <c r="I20" s="8" t="s">
        <v>3374</v>
      </c>
      <c r="J20" s="4">
        <v>1</v>
      </c>
      <c r="K20" s="9">
        <v>7.99</v>
      </c>
      <c r="L20" s="9">
        <v>7.99</v>
      </c>
      <c r="M20" s="4" t="s">
        <v>3126</v>
      </c>
      <c r="N20" s="4" t="s">
        <v>2567</v>
      </c>
      <c r="O20" s="4">
        <v>5</v>
      </c>
      <c r="P20" s="4" t="s">
        <v>2602</v>
      </c>
      <c r="Q20" s="4" t="s">
        <v>2528</v>
      </c>
      <c r="R20" s="4"/>
      <c r="S20" s="4"/>
      <c r="T20" s="4" t="str">
        <f>HYPERLINK("http://slimages.macys.com/is/image/MCY/20450165 ")</f>
        <v xml:space="preserve">http://slimages.macys.com/is/image/MCY/20450165 </v>
      </c>
    </row>
    <row r="21" spans="1:20" ht="15" customHeight="1" x14ac:dyDescent="0.25">
      <c r="A21" s="4" t="s">
        <v>2489</v>
      </c>
      <c r="B21" s="2" t="s">
        <v>2487</v>
      </c>
      <c r="C21" s="2" t="s">
        <v>2488</v>
      </c>
      <c r="D21" s="5" t="s">
        <v>2490</v>
      </c>
      <c r="E21" s="4" t="s">
        <v>2491</v>
      </c>
      <c r="F21" s="6">
        <v>14236745</v>
      </c>
      <c r="G21" s="3">
        <v>14236745</v>
      </c>
      <c r="H21" s="7">
        <v>762120077118</v>
      </c>
      <c r="I21" s="8" t="s">
        <v>980</v>
      </c>
      <c r="J21" s="4">
        <v>1</v>
      </c>
      <c r="K21" s="9">
        <v>7.99</v>
      </c>
      <c r="L21" s="9">
        <v>7.99</v>
      </c>
      <c r="M21" s="4" t="s">
        <v>3130</v>
      </c>
      <c r="N21" s="4" t="s">
        <v>2567</v>
      </c>
      <c r="O21" s="4" t="s">
        <v>2587</v>
      </c>
      <c r="P21" s="4" t="s">
        <v>2520</v>
      </c>
      <c r="Q21" s="4" t="s">
        <v>2528</v>
      </c>
      <c r="R21" s="4"/>
      <c r="S21" s="4"/>
      <c r="T21" s="4" t="str">
        <f>HYPERLINK("http://slimages.macys.com/is/image/MCY/20665870 ")</f>
        <v xml:space="preserve">http://slimages.macys.com/is/image/MCY/20665870 </v>
      </c>
    </row>
    <row r="22" spans="1:20" ht="15" customHeight="1" x14ac:dyDescent="0.25">
      <c r="A22" s="4" t="s">
        <v>2489</v>
      </c>
      <c r="B22" s="2" t="s">
        <v>2487</v>
      </c>
      <c r="C22" s="2" t="s">
        <v>2488</v>
      </c>
      <c r="D22" s="5" t="s">
        <v>2490</v>
      </c>
      <c r="E22" s="4" t="s">
        <v>2491</v>
      </c>
      <c r="F22" s="6">
        <v>14236745</v>
      </c>
      <c r="G22" s="3">
        <v>14236745</v>
      </c>
      <c r="H22" s="7">
        <v>733004729386</v>
      </c>
      <c r="I22" s="8" t="s">
        <v>981</v>
      </c>
      <c r="J22" s="4">
        <v>1</v>
      </c>
      <c r="K22" s="9">
        <v>11.99</v>
      </c>
      <c r="L22" s="9">
        <v>11.99</v>
      </c>
      <c r="M22" s="4" t="s">
        <v>982</v>
      </c>
      <c r="N22" s="4" t="s">
        <v>2571</v>
      </c>
      <c r="O22" s="4" t="s">
        <v>2498</v>
      </c>
      <c r="P22" s="4" t="s">
        <v>2520</v>
      </c>
      <c r="Q22" s="4" t="s">
        <v>2521</v>
      </c>
      <c r="R22" s="4"/>
      <c r="S22" s="4"/>
      <c r="T22" s="4" t="str">
        <f>HYPERLINK("http://slimages.macys.com/is/image/MCY/20433931 ")</f>
        <v xml:space="preserve">http://slimages.macys.com/is/image/MCY/20433931 </v>
      </c>
    </row>
    <row r="23" spans="1:20" ht="15" customHeight="1" x14ac:dyDescent="0.25">
      <c r="A23" s="4" t="s">
        <v>2489</v>
      </c>
      <c r="B23" s="2" t="s">
        <v>2487</v>
      </c>
      <c r="C23" s="2" t="s">
        <v>2488</v>
      </c>
      <c r="D23" s="5" t="s">
        <v>2490</v>
      </c>
      <c r="E23" s="4" t="s">
        <v>2491</v>
      </c>
      <c r="F23" s="6">
        <v>14236745</v>
      </c>
      <c r="G23" s="3">
        <v>14236745</v>
      </c>
      <c r="H23" s="7">
        <v>733004745836</v>
      </c>
      <c r="I23" s="8" t="s">
        <v>2938</v>
      </c>
      <c r="J23" s="4">
        <v>1</v>
      </c>
      <c r="K23" s="9">
        <v>6.99</v>
      </c>
      <c r="L23" s="9">
        <v>6.99</v>
      </c>
      <c r="M23" s="4" t="s">
        <v>2939</v>
      </c>
      <c r="N23" s="4" t="s">
        <v>2638</v>
      </c>
      <c r="O23" s="4" t="s">
        <v>2601</v>
      </c>
      <c r="P23" s="4" t="s">
        <v>2503</v>
      </c>
      <c r="Q23" s="4" t="s">
        <v>2504</v>
      </c>
      <c r="R23" s="4"/>
      <c r="S23" s="4"/>
      <c r="T23" s="4" t="str">
        <f>HYPERLINK("http://slimages.macys.com/is/image/MCY/19977792 ")</f>
        <v xml:space="preserve">http://slimages.macys.com/is/image/MCY/19977792 </v>
      </c>
    </row>
    <row r="24" spans="1:20" ht="15" customHeight="1" x14ac:dyDescent="0.25">
      <c r="A24" s="4" t="s">
        <v>2489</v>
      </c>
      <c r="B24" s="2" t="s">
        <v>2487</v>
      </c>
      <c r="C24" s="2" t="s">
        <v>2488</v>
      </c>
      <c r="D24" s="5" t="s">
        <v>2490</v>
      </c>
      <c r="E24" s="4" t="s">
        <v>2491</v>
      </c>
      <c r="F24" s="6">
        <v>14236745</v>
      </c>
      <c r="G24" s="3">
        <v>14236745</v>
      </c>
      <c r="H24" s="7">
        <v>762120084673</v>
      </c>
      <c r="I24" s="8" t="s">
        <v>3182</v>
      </c>
      <c r="J24" s="4">
        <v>1</v>
      </c>
      <c r="K24" s="9">
        <v>7.99</v>
      </c>
      <c r="L24" s="9">
        <v>7.99</v>
      </c>
      <c r="M24" s="4" t="s">
        <v>3183</v>
      </c>
      <c r="N24" s="4" t="s">
        <v>2565</v>
      </c>
      <c r="O24" s="4" t="s">
        <v>2650</v>
      </c>
      <c r="P24" s="4" t="s">
        <v>2602</v>
      </c>
      <c r="Q24" s="4" t="s">
        <v>2528</v>
      </c>
      <c r="R24" s="4"/>
      <c r="S24" s="4"/>
      <c r="T24" s="4" t="str">
        <f>HYPERLINK("http://slimages.macys.com/is/image/MCY/1088549 ")</f>
        <v xml:space="preserve">http://slimages.macys.com/is/image/MCY/1088549 </v>
      </c>
    </row>
    <row r="25" spans="1:20" ht="15" customHeight="1" x14ac:dyDescent="0.25">
      <c r="A25" s="4" t="s">
        <v>2489</v>
      </c>
      <c r="B25" s="2" t="s">
        <v>2487</v>
      </c>
      <c r="C25" s="2" t="s">
        <v>2488</v>
      </c>
      <c r="D25" s="5" t="s">
        <v>2490</v>
      </c>
      <c r="E25" s="4" t="s">
        <v>2491</v>
      </c>
      <c r="F25" s="6">
        <v>14236745</v>
      </c>
      <c r="G25" s="3">
        <v>14236745</v>
      </c>
      <c r="H25" s="7">
        <v>733004751950</v>
      </c>
      <c r="I25" s="8" t="s">
        <v>983</v>
      </c>
      <c r="J25" s="4">
        <v>1</v>
      </c>
      <c r="K25" s="9">
        <v>13.99</v>
      </c>
      <c r="L25" s="9">
        <v>13.99</v>
      </c>
      <c r="M25" s="4" t="s">
        <v>1796</v>
      </c>
      <c r="N25" s="4" t="s">
        <v>2523</v>
      </c>
      <c r="O25" s="4" t="s">
        <v>2555</v>
      </c>
      <c r="P25" s="4" t="s">
        <v>2543</v>
      </c>
      <c r="Q25" s="4" t="s">
        <v>2528</v>
      </c>
      <c r="R25" s="4"/>
      <c r="S25" s="4"/>
      <c r="T25" s="4" t="str">
        <f>HYPERLINK("http://slimages.macys.com/is/image/MCY/20440815 ")</f>
        <v xml:space="preserve">http://slimages.macys.com/is/image/MCY/20440815 </v>
      </c>
    </row>
    <row r="26" spans="1:20" ht="15" customHeight="1" x14ac:dyDescent="0.25">
      <c r="A26" s="4" t="s">
        <v>2489</v>
      </c>
      <c r="B26" s="2" t="s">
        <v>2487</v>
      </c>
      <c r="C26" s="2" t="s">
        <v>2488</v>
      </c>
      <c r="D26" s="5" t="s">
        <v>2490</v>
      </c>
      <c r="E26" s="4" t="s">
        <v>2491</v>
      </c>
      <c r="F26" s="6">
        <v>14236745</v>
      </c>
      <c r="G26" s="3">
        <v>14236745</v>
      </c>
      <c r="H26" s="7">
        <v>733004765032</v>
      </c>
      <c r="I26" s="8" t="s">
        <v>2045</v>
      </c>
      <c r="J26" s="4">
        <v>1</v>
      </c>
      <c r="K26" s="9">
        <v>21.99</v>
      </c>
      <c r="L26" s="9">
        <v>21.99</v>
      </c>
      <c r="M26" s="4" t="s">
        <v>3428</v>
      </c>
      <c r="N26" s="4" t="s">
        <v>2598</v>
      </c>
      <c r="O26" s="4" t="s">
        <v>2671</v>
      </c>
      <c r="P26" s="4" t="s">
        <v>2515</v>
      </c>
      <c r="Q26" s="4" t="s">
        <v>2672</v>
      </c>
      <c r="R26" s="4"/>
      <c r="S26" s="4"/>
      <c r="T26" s="4" t="str">
        <f>HYPERLINK("http://slimages.macys.com/is/image/MCY/20530565 ")</f>
        <v xml:space="preserve">http://slimages.macys.com/is/image/MCY/20530565 </v>
      </c>
    </row>
    <row r="27" spans="1:20" ht="15" customHeight="1" x14ac:dyDescent="0.25">
      <c r="A27" s="4" t="s">
        <v>2489</v>
      </c>
      <c r="B27" s="2" t="s">
        <v>2487</v>
      </c>
      <c r="C27" s="2" t="s">
        <v>2488</v>
      </c>
      <c r="D27" s="5" t="s">
        <v>2490</v>
      </c>
      <c r="E27" s="4" t="s">
        <v>2491</v>
      </c>
      <c r="F27" s="6">
        <v>14236745</v>
      </c>
      <c r="G27" s="3">
        <v>14236745</v>
      </c>
      <c r="H27" s="7">
        <v>52931938976</v>
      </c>
      <c r="I27" s="8" t="s">
        <v>984</v>
      </c>
      <c r="J27" s="4">
        <v>1</v>
      </c>
      <c r="K27" s="9">
        <v>24</v>
      </c>
      <c r="L27" s="9">
        <v>24</v>
      </c>
      <c r="M27" s="4" t="s">
        <v>985</v>
      </c>
      <c r="N27" s="4" t="s">
        <v>2497</v>
      </c>
      <c r="O27" s="4" t="s">
        <v>2498</v>
      </c>
      <c r="P27" s="4" t="s">
        <v>2666</v>
      </c>
      <c r="Q27" s="4" t="s">
        <v>3393</v>
      </c>
      <c r="R27" s="4" t="s">
        <v>2552</v>
      </c>
      <c r="S27" s="4" t="s">
        <v>986</v>
      </c>
      <c r="T27" s="4" t="str">
        <f>HYPERLINK("http://slimages.macys.com/is/image/MCY/14554704 ")</f>
        <v xml:space="preserve">http://slimages.macys.com/is/image/MCY/14554704 </v>
      </c>
    </row>
    <row r="28" spans="1:20" ht="15" customHeight="1" x14ac:dyDescent="0.25">
      <c r="A28" s="4" t="s">
        <v>2489</v>
      </c>
      <c r="B28" s="2" t="s">
        <v>2487</v>
      </c>
      <c r="C28" s="2" t="s">
        <v>2488</v>
      </c>
      <c r="D28" s="5" t="s">
        <v>2490</v>
      </c>
      <c r="E28" s="4" t="s">
        <v>2491</v>
      </c>
      <c r="F28" s="6">
        <v>14236745</v>
      </c>
      <c r="G28" s="3">
        <v>14236745</v>
      </c>
      <c r="H28" s="7">
        <v>733004297700</v>
      </c>
      <c r="I28" s="8" t="s">
        <v>1947</v>
      </c>
      <c r="J28" s="4">
        <v>1</v>
      </c>
      <c r="K28" s="9">
        <v>27.99</v>
      </c>
      <c r="L28" s="9">
        <v>27.99</v>
      </c>
      <c r="M28" s="4" t="s">
        <v>2949</v>
      </c>
      <c r="N28" s="4" t="s">
        <v>2758</v>
      </c>
      <c r="O28" s="4" t="s">
        <v>2519</v>
      </c>
      <c r="P28" s="4" t="s">
        <v>2515</v>
      </c>
      <c r="Q28" s="4" t="s">
        <v>2672</v>
      </c>
      <c r="R28" s="4"/>
      <c r="S28" s="4"/>
      <c r="T28" s="4" t="str">
        <f>HYPERLINK("http://slimages.macys.com/is/image/MCY/20143278 ")</f>
        <v xml:space="preserve">http://slimages.macys.com/is/image/MCY/20143278 </v>
      </c>
    </row>
    <row r="29" spans="1:20" ht="15" customHeight="1" x14ac:dyDescent="0.25">
      <c r="A29" s="4" t="s">
        <v>2489</v>
      </c>
      <c r="B29" s="2" t="s">
        <v>2487</v>
      </c>
      <c r="C29" s="2" t="s">
        <v>2488</v>
      </c>
      <c r="D29" s="5" t="s">
        <v>2490</v>
      </c>
      <c r="E29" s="4" t="s">
        <v>2491</v>
      </c>
      <c r="F29" s="6">
        <v>14236745</v>
      </c>
      <c r="G29" s="3">
        <v>14236745</v>
      </c>
      <c r="H29" s="7">
        <v>733003909413</v>
      </c>
      <c r="I29" s="8" t="s">
        <v>2847</v>
      </c>
      <c r="J29" s="4">
        <v>1</v>
      </c>
      <c r="K29" s="9">
        <v>39.99</v>
      </c>
      <c r="L29" s="9">
        <v>39.99</v>
      </c>
      <c r="M29" s="4" t="s">
        <v>2848</v>
      </c>
      <c r="N29" s="4" t="s">
        <v>2600</v>
      </c>
      <c r="O29" s="4" t="s">
        <v>2502</v>
      </c>
      <c r="P29" s="4" t="s">
        <v>2503</v>
      </c>
      <c r="Q29" s="4" t="s">
        <v>2504</v>
      </c>
      <c r="R29" s="4"/>
      <c r="S29" s="4"/>
      <c r="T29" s="4" t="str">
        <f>HYPERLINK("http://slimages.macys.com/is/image/MCY/19521517 ")</f>
        <v xml:space="preserve">http://slimages.macys.com/is/image/MCY/19521517 </v>
      </c>
    </row>
    <row r="30" spans="1:20" ht="15" customHeight="1" x14ac:dyDescent="0.25">
      <c r="A30" s="4" t="s">
        <v>2489</v>
      </c>
      <c r="B30" s="2" t="s">
        <v>2487</v>
      </c>
      <c r="C30" s="2" t="s">
        <v>2488</v>
      </c>
      <c r="D30" s="5" t="s">
        <v>2490</v>
      </c>
      <c r="E30" s="4" t="s">
        <v>2491</v>
      </c>
      <c r="F30" s="6">
        <v>14236745</v>
      </c>
      <c r="G30" s="3">
        <v>14236745</v>
      </c>
      <c r="H30" s="7">
        <v>733004780073</v>
      </c>
      <c r="I30" s="8" t="s">
        <v>1364</v>
      </c>
      <c r="J30" s="4">
        <v>1</v>
      </c>
      <c r="K30" s="9">
        <v>7.99</v>
      </c>
      <c r="L30" s="9">
        <v>7.99</v>
      </c>
      <c r="M30" s="4" t="s">
        <v>2692</v>
      </c>
      <c r="N30" s="4" t="s">
        <v>2501</v>
      </c>
      <c r="O30" s="4" t="s">
        <v>2650</v>
      </c>
      <c r="P30" s="4" t="s">
        <v>2602</v>
      </c>
      <c r="Q30" s="4" t="s">
        <v>2528</v>
      </c>
      <c r="R30" s="4"/>
      <c r="S30" s="4"/>
      <c r="T30" s="4" t="str">
        <f>HYPERLINK("http://slimages.macys.com/is/image/MCY/20450163 ")</f>
        <v xml:space="preserve">http://slimages.macys.com/is/image/MCY/20450163 </v>
      </c>
    </row>
    <row r="31" spans="1:20" ht="15" customHeight="1" x14ac:dyDescent="0.25">
      <c r="A31" s="4" t="s">
        <v>2489</v>
      </c>
      <c r="B31" s="2" t="s">
        <v>2487</v>
      </c>
      <c r="C31" s="2" t="s">
        <v>2488</v>
      </c>
      <c r="D31" s="5" t="s">
        <v>2490</v>
      </c>
      <c r="E31" s="4" t="s">
        <v>2491</v>
      </c>
      <c r="F31" s="6">
        <v>14236745</v>
      </c>
      <c r="G31" s="3">
        <v>14236745</v>
      </c>
      <c r="H31" s="7">
        <v>733004740015</v>
      </c>
      <c r="I31" s="8" t="s">
        <v>940</v>
      </c>
      <c r="J31" s="4">
        <v>1</v>
      </c>
      <c r="K31" s="9">
        <v>5.99</v>
      </c>
      <c r="L31" s="9">
        <v>5.99</v>
      </c>
      <c r="M31" s="4" t="s">
        <v>3357</v>
      </c>
      <c r="N31" s="4" t="s">
        <v>2501</v>
      </c>
      <c r="O31" s="4" t="s">
        <v>2566</v>
      </c>
      <c r="P31" s="4" t="s">
        <v>2503</v>
      </c>
      <c r="Q31" s="4" t="s">
        <v>2504</v>
      </c>
      <c r="R31" s="4"/>
      <c r="S31" s="4"/>
      <c r="T31" s="4" t="str">
        <f>HYPERLINK("http://slimages.macys.com/is/image/MCY/19977819 ")</f>
        <v xml:space="preserve">http://slimages.macys.com/is/image/MCY/19977819 </v>
      </c>
    </row>
    <row r="32" spans="1:20" ht="15" customHeight="1" x14ac:dyDescent="0.25">
      <c r="A32" s="4" t="s">
        <v>2489</v>
      </c>
      <c r="B32" s="2" t="s">
        <v>2487</v>
      </c>
      <c r="C32" s="2" t="s">
        <v>2488</v>
      </c>
      <c r="D32" s="5" t="s">
        <v>2490</v>
      </c>
      <c r="E32" s="4" t="s">
        <v>2491</v>
      </c>
      <c r="F32" s="6">
        <v>14236745</v>
      </c>
      <c r="G32" s="3">
        <v>14236745</v>
      </c>
      <c r="H32" s="7">
        <v>194257385048</v>
      </c>
      <c r="I32" s="8" t="s">
        <v>3387</v>
      </c>
      <c r="J32" s="4">
        <v>2</v>
      </c>
      <c r="K32" s="9">
        <v>8.99</v>
      </c>
      <c r="L32" s="9">
        <v>17.98</v>
      </c>
      <c r="M32" s="4" t="s">
        <v>2604</v>
      </c>
      <c r="N32" s="4" t="s">
        <v>2567</v>
      </c>
      <c r="O32" s="4">
        <v>6</v>
      </c>
      <c r="P32" s="4" t="s">
        <v>2499</v>
      </c>
      <c r="Q32" s="4" t="s">
        <v>2525</v>
      </c>
      <c r="R32" s="4"/>
      <c r="S32" s="4"/>
      <c r="T32" s="4" t="str">
        <f>HYPERLINK("http://slimages.macys.com/is/image/MCY/19944401 ")</f>
        <v xml:space="preserve">http://slimages.macys.com/is/image/MCY/19944401 </v>
      </c>
    </row>
    <row r="33" spans="1:20" ht="15" customHeight="1" x14ac:dyDescent="0.25">
      <c r="A33" s="4" t="s">
        <v>2489</v>
      </c>
      <c r="B33" s="2" t="s">
        <v>2487</v>
      </c>
      <c r="C33" s="2" t="s">
        <v>2488</v>
      </c>
      <c r="D33" s="5" t="s">
        <v>2490</v>
      </c>
      <c r="E33" s="4" t="s">
        <v>2491</v>
      </c>
      <c r="F33" s="6">
        <v>14236745</v>
      </c>
      <c r="G33" s="3">
        <v>14236745</v>
      </c>
      <c r="H33" s="7">
        <v>762120077989</v>
      </c>
      <c r="I33" s="8" t="s">
        <v>1600</v>
      </c>
      <c r="J33" s="4">
        <v>1</v>
      </c>
      <c r="K33" s="9">
        <v>16.989999999999998</v>
      </c>
      <c r="L33" s="9">
        <v>16.989999999999998</v>
      </c>
      <c r="M33" s="4" t="s">
        <v>1601</v>
      </c>
      <c r="N33" s="4" t="s">
        <v>2505</v>
      </c>
      <c r="O33" s="4">
        <v>7</v>
      </c>
      <c r="P33" s="4" t="s">
        <v>2520</v>
      </c>
      <c r="Q33" s="4" t="s">
        <v>2528</v>
      </c>
      <c r="R33" s="4"/>
      <c r="S33" s="4"/>
      <c r="T33" s="4" t="str">
        <f>HYPERLINK("http://slimages.macys.com/is/image/MCY/20669890 ")</f>
        <v xml:space="preserve">http://slimages.macys.com/is/image/MCY/20669890 </v>
      </c>
    </row>
    <row r="34" spans="1:20" ht="15" customHeight="1" x14ac:dyDescent="0.25">
      <c r="A34" s="4" t="s">
        <v>2489</v>
      </c>
      <c r="B34" s="2" t="s">
        <v>2487</v>
      </c>
      <c r="C34" s="2" t="s">
        <v>2488</v>
      </c>
      <c r="D34" s="5" t="s">
        <v>2490</v>
      </c>
      <c r="E34" s="4" t="s">
        <v>2491</v>
      </c>
      <c r="F34" s="6">
        <v>14236745</v>
      </c>
      <c r="G34" s="3">
        <v>14236745</v>
      </c>
      <c r="H34" s="7">
        <v>733004738135</v>
      </c>
      <c r="I34" s="8" t="s">
        <v>1591</v>
      </c>
      <c r="J34" s="4">
        <v>1</v>
      </c>
      <c r="K34" s="9">
        <v>6.99</v>
      </c>
      <c r="L34" s="9">
        <v>6.99</v>
      </c>
      <c r="M34" s="4" t="s">
        <v>2134</v>
      </c>
      <c r="N34" s="4" t="s">
        <v>2565</v>
      </c>
      <c r="O34" s="4" t="s">
        <v>2559</v>
      </c>
      <c r="P34" s="4" t="s">
        <v>2503</v>
      </c>
      <c r="Q34" s="4" t="s">
        <v>2504</v>
      </c>
      <c r="R34" s="4"/>
      <c r="S34" s="4"/>
      <c r="T34" s="4" t="str">
        <f>HYPERLINK("http://slimages.macys.com/is/image/MCY/19977849 ")</f>
        <v xml:space="preserve">http://slimages.macys.com/is/image/MCY/19977849 </v>
      </c>
    </row>
    <row r="35" spans="1:20" ht="15" customHeight="1" x14ac:dyDescent="0.25">
      <c r="A35" s="4" t="s">
        <v>2489</v>
      </c>
      <c r="B35" s="2" t="s">
        <v>2487</v>
      </c>
      <c r="C35" s="2" t="s">
        <v>2488</v>
      </c>
      <c r="D35" s="5" t="s">
        <v>2490</v>
      </c>
      <c r="E35" s="4" t="s">
        <v>2491</v>
      </c>
      <c r="F35" s="6">
        <v>14236745</v>
      </c>
      <c r="G35" s="3">
        <v>14236745</v>
      </c>
      <c r="H35" s="7">
        <v>733003642716</v>
      </c>
      <c r="I35" s="8" t="s">
        <v>987</v>
      </c>
      <c r="J35" s="4">
        <v>3</v>
      </c>
      <c r="K35" s="9">
        <v>22.99</v>
      </c>
      <c r="L35" s="9">
        <v>68.97</v>
      </c>
      <c r="M35" s="4" t="s">
        <v>2513</v>
      </c>
      <c r="N35" s="4" t="s">
        <v>2514</v>
      </c>
      <c r="O35" s="4" t="s">
        <v>2519</v>
      </c>
      <c r="P35" s="4" t="s">
        <v>2515</v>
      </c>
      <c r="Q35" s="4" t="s">
        <v>2516</v>
      </c>
      <c r="R35" s="4"/>
      <c r="S35" s="4"/>
      <c r="T35" s="4" t="str">
        <f>HYPERLINK("http://slimages.macys.com/is/image/MCY/20008078 ")</f>
        <v xml:space="preserve">http://slimages.macys.com/is/image/MCY/20008078 </v>
      </c>
    </row>
    <row r="36" spans="1:20" ht="15" customHeight="1" x14ac:dyDescent="0.25">
      <c r="A36" s="4" t="s">
        <v>2489</v>
      </c>
      <c r="B36" s="2" t="s">
        <v>2487</v>
      </c>
      <c r="C36" s="2" t="s">
        <v>2488</v>
      </c>
      <c r="D36" s="5" t="s">
        <v>2490</v>
      </c>
      <c r="E36" s="4" t="s">
        <v>2491</v>
      </c>
      <c r="F36" s="6">
        <v>14236745</v>
      </c>
      <c r="G36" s="3">
        <v>14236745</v>
      </c>
      <c r="H36" s="7">
        <v>762120085168</v>
      </c>
      <c r="I36" s="8" t="s">
        <v>988</v>
      </c>
      <c r="J36" s="4">
        <v>1</v>
      </c>
      <c r="K36" s="9">
        <v>7.99</v>
      </c>
      <c r="L36" s="9">
        <v>7.99</v>
      </c>
      <c r="M36" s="4" t="s">
        <v>1560</v>
      </c>
      <c r="N36" s="4" t="s">
        <v>2530</v>
      </c>
      <c r="O36" s="4">
        <v>5</v>
      </c>
      <c r="P36" s="4" t="s">
        <v>2602</v>
      </c>
      <c r="Q36" s="4" t="s">
        <v>2528</v>
      </c>
      <c r="R36" s="4"/>
      <c r="S36" s="4"/>
      <c r="T36" s="4" t="str">
        <f>HYPERLINK("http://slimages.macys.com/is/image/MCY/20691807 ")</f>
        <v xml:space="preserve">http://slimages.macys.com/is/image/MCY/20691807 </v>
      </c>
    </row>
    <row r="37" spans="1:20" ht="15" customHeight="1" x14ac:dyDescent="0.25">
      <c r="A37" s="4" t="s">
        <v>2489</v>
      </c>
      <c r="B37" s="2" t="s">
        <v>2487</v>
      </c>
      <c r="C37" s="2" t="s">
        <v>2488</v>
      </c>
      <c r="D37" s="5" t="s">
        <v>2490</v>
      </c>
      <c r="E37" s="4" t="s">
        <v>2491</v>
      </c>
      <c r="F37" s="6">
        <v>14236745</v>
      </c>
      <c r="G37" s="3">
        <v>14236745</v>
      </c>
      <c r="H37" s="7">
        <v>196027071953</v>
      </c>
      <c r="I37" s="8" t="s">
        <v>792</v>
      </c>
      <c r="J37" s="4">
        <v>1</v>
      </c>
      <c r="K37" s="9">
        <v>17.989999999999998</v>
      </c>
      <c r="L37" s="9">
        <v>17.989999999999998</v>
      </c>
      <c r="M37" s="4" t="s">
        <v>2243</v>
      </c>
      <c r="N37" s="4" t="s">
        <v>2544</v>
      </c>
      <c r="O37" s="4" t="s">
        <v>2705</v>
      </c>
      <c r="P37" s="4" t="s">
        <v>2569</v>
      </c>
      <c r="Q37" s="4" t="s">
        <v>2570</v>
      </c>
      <c r="R37" s="4"/>
      <c r="S37" s="4"/>
      <c r="T37" s="4" t="str">
        <f>HYPERLINK("http://slimages.macys.com/is/image/MCY/20583422 ")</f>
        <v xml:space="preserve">http://slimages.macys.com/is/image/MCY/20583422 </v>
      </c>
    </row>
    <row r="38" spans="1:20" ht="15" customHeight="1" x14ac:dyDescent="0.25">
      <c r="A38" s="4" t="s">
        <v>2489</v>
      </c>
      <c r="B38" s="2" t="s">
        <v>2487</v>
      </c>
      <c r="C38" s="2" t="s">
        <v>2488</v>
      </c>
      <c r="D38" s="5" t="s">
        <v>2490</v>
      </c>
      <c r="E38" s="4" t="s">
        <v>2491</v>
      </c>
      <c r="F38" s="6">
        <v>14236745</v>
      </c>
      <c r="G38" s="3">
        <v>14236745</v>
      </c>
      <c r="H38" s="7">
        <v>733004958274</v>
      </c>
      <c r="I38" s="8" t="s">
        <v>989</v>
      </c>
      <c r="J38" s="4">
        <v>1</v>
      </c>
      <c r="K38" s="9">
        <v>19.989999999999998</v>
      </c>
      <c r="L38" s="9">
        <v>19.989999999999998</v>
      </c>
      <c r="M38" s="4" t="s">
        <v>1798</v>
      </c>
      <c r="N38" s="4" t="s">
        <v>2531</v>
      </c>
      <c r="O38" s="4" t="s">
        <v>2559</v>
      </c>
      <c r="P38" s="4" t="s">
        <v>2503</v>
      </c>
      <c r="Q38" s="4" t="s">
        <v>2504</v>
      </c>
      <c r="R38" s="4"/>
      <c r="S38" s="4"/>
      <c r="T38" s="4" t="str">
        <f>HYPERLINK("http://slimages.macys.com/is/image/MCY/20386058 ")</f>
        <v xml:space="preserve">http://slimages.macys.com/is/image/MCY/20386058 </v>
      </c>
    </row>
    <row r="39" spans="1:20" ht="15" customHeight="1" x14ac:dyDescent="0.25">
      <c r="A39" s="4" t="s">
        <v>2489</v>
      </c>
      <c r="B39" s="2" t="s">
        <v>2487</v>
      </c>
      <c r="C39" s="2" t="s">
        <v>2488</v>
      </c>
      <c r="D39" s="5" t="s">
        <v>2490</v>
      </c>
      <c r="E39" s="4" t="s">
        <v>2491</v>
      </c>
      <c r="F39" s="6">
        <v>14236745</v>
      </c>
      <c r="G39" s="3">
        <v>14236745</v>
      </c>
      <c r="H39" s="7">
        <v>762120123532</v>
      </c>
      <c r="I39" s="8" t="s">
        <v>1835</v>
      </c>
      <c r="J39" s="4">
        <v>1</v>
      </c>
      <c r="K39" s="9">
        <v>6.99</v>
      </c>
      <c r="L39" s="9">
        <v>6.99</v>
      </c>
      <c r="M39" s="4" t="s">
        <v>1794</v>
      </c>
      <c r="N39" s="4" t="s">
        <v>2561</v>
      </c>
      <c r="O39" s="4" t="s">
        <v>2566</v>
      </c>
      <c r="P39" s="4" t="s">
        <v>2503</v>
      </c>
      <c r="Q39" s="4" t="s">
        <v>2504</v>
      </c>
      <c r="R39" s="4"/>
      <c r="S39" s="4"/>
      <c r="T39" s="4" t="str">
        <f>HYPERLINK("http://slimages.macys.com/is/image/MCY/20385731 ")</f>
        <v xml:space="preserve">http://slimages.macys.com/is/image/MCY/20385731 </v>
      </c>
    </row>
    <row r="40" spans="1:20" ht="15" customHeight="1" x14ac:dyDescent="0.25">
      <c r="A40" s="4" t="s">
        <v>2489</v>
      </c>
      <c r="B40" s="2" t="s">
        <v>2487</v>
      </c>
      <c r="C40" s="2" t="s">
        <v>2488</v>
      </c>
      <c r="D40" s="5" t="s">
        <v>2490</v>
      </c>
      <c r="E40" s="4" t="s">
        <v>2491</v>
      </c>
      <c r="F40" s="6">
        <v>14236745</v>
      </c>
      <c r="G40" s="3">
        <v>14236745</v>
      </c>
      <c r="H40" s="7">
        <v>191967707597</v>
      </c>
      <c r="I40" s="8" t="s">
        <v>990</v>
      </c>
      <c r="J40" s="4">
        <v>1</v>
      </c>
      <c r="K40" s="9">
        <v>59.99</v>
      </c>
      <c r="L40" s="9">
        <v>59.99</v>
      </c>
      <c r="M40" s="4" t="s">
        <v>1999</v>
      </c>
      <c r="N40" s="4" t="s">
        <v>2766</v>
      </c>
      <c r="O40" s="10">
        <v>45115</v>
      </c>
      <c r="P40" s="4" t="s">
        <v>2550</v>
      </c>
      <c r="Q40" s="4" t="s">
        <v>2903</v>
      </c>
      <c r="R40" s="4"/>
      <c r="S40" s="4"/>
      <c r="T40" s="4" t="str">
        <f>HYPERLINK("http://slimages.macys.com/is/image/MCY/21305703 ")</f>
        <v xml:space="preserve">http://slimages.macys.com/is/image/MCY/21305703 </v>
      </c>
    </row>
    <row r="41" spans="1:20" ht="15" customHeight="1" x14ac:dyDescent="0.25">
      <c r="A41" s="4" t="s">
        <v>2489</v>
      </c>
      <c r="B41" s="2" t="s">
        <v>2487</v>
      </c>
      <c r="C41" s="2" t="s">
        <v>2488</v>
      </c>
      <c r="D41" s="5" t="s">
        <v>2490</v>
      </c>
      <c r="E41" s="4" t="s">
        <v>2491</v>
      </c>
      <c r="F41" s="6">
        <v>14236745</v>
      </c>
      <c r="G41" s="3">
        <v>14236745</v>
      </c>
      <c r="H41" s="7">
        <v>726108379977</v>
      </c>
      <c r="I41" s="8" t="s">
        <v>991</v>
      </c>
      <c r="J41" s="4">
        <v>2</v>
      </c>
      <c r="K41" s="9">
        <v>44.99</v>
      </c>
      <c r="L41" s="9">
        <v>89.98</v>
      </c>
      <c r="M41" s="4" t="s">
        <v>3163</v>
      </c>
      <c r="N41" s="4" t="s">
        <v>2611</v>
      </c>
      <c r="O41" s="4" t="s">
        <v>2524</v>
      </c>
      <c r="P41" s="4" t="s">
        <v>2550</v>
      </c>
      <c r="Q41" s="4" t="s">
        <v>2706</v>
      </c>
      <c r="R41" s="4"/>
      <c r="S41" s="4"/>
      <c r="T41" s="4" t="str">
        <f>HYPERLINK("http://slimages.macys.com/is/image/MCY/19908997 ")</f>
        <v xml:space="preserve">http://slimages.macys.com/is/image/MCY/19908997 </v>
      </c>
    </row>
    <row r="42" spans="1:20" ht="15" customHeight="1" x14ac:dyDescent="0.25">
      <c r="A42" s="4" t="s">
        <v>2489</v>
      </c>
      <c r="B42" s="2" t="s">
        <v>2487</v>
      </c>
      <c r="C42" s="2" t="s">
        <v>2488</v>
      </c>
      <c r="D42" s="5" t="s">
        <v>2490</v>
      </c>
      <c r="E42" s="4" t="s">
        <v>2491</v>
      </c>
      <c r="F42" s="6">
        <v>14236745</v>
      </c>
      <c r="G42" s="3">
        <v>14236745</v>
      </c>
      <c r="H42" s="7">
        <v>726108366007</v>
      </c>
      <c r="I42" s="8" t="s">
        <v>3134</v>
      </c>
      <c r="J42" s="4">
        <v>1</v>
      </c>
      <c r="K42" s="9">
        <v>26.99</v>
      </c>
      <c r="L42" s="9">
        <v>26.99</v>
      </c>
      <c r="M42" s="4" t="s">
        <v>3135</v>
      </c>
      <c r="N42" s="4" t="s">
        <v>2561</v>
      </c>
      <c r="O42" s="4" t="s">
        <v>2498</v>
      </c>
      <c r="P42" s="4" t="s">
        <v>2550</v>
      </c>
      <c r="Q42" s="4" t="s">
        <v>2706</v>
      </c>
      <c r="R42" s="4"/>
      <c r="S42" s="4"/>
      <c r="T42" s="4" t="str">
        <f>HYPERLINK("http://slimages.macys.com/is/image/MCY/17876310 ")</f>
        <v xml:space="preserve">http://slimages.macys.com/is/image/MCY/17876310 </v>
      </c>
    </row>
    <row r="43" spans="1:20" ht="15" customHeight="1" x14ac:dyDescent="0.25">
      <c r="A43" s="4" t="s">
        <v>2489</v>
      </c>
      <c r="B43" s="2" t="s">
        <v>2487</v>
      </c>
      <c r="C43" s="2" t="s">
        <v>2488</v>
      </c>
      <c r="D43" s="5" t="s">
        <v>2490</v>
      </c>
      <c r="E43" s="4" t="s">
        <v>2491</v>
      </c>
      <c r="F43" s="6">
        <v>14236745</v>
      </c>
      <c r="G43" s="3">
        <v>14236745</v>
      </c>
      <c r="H43" s="7">
        <v>762120162388</v>
      </c>
      <c r="I43" s="8" t="s">
        <v>1787</v>
      </c>
      <c r="J43" s="4">
        <v>1</v>
      </c>
      <c r="K43" s="9">
        <v>11.99</v>
      </c>
      <c r="L43" s="9">
        <v>11.99</v>
      </c>
      <c r="M43" s="4" t="s">
        <v>2631</v>
      </c>
      <c r="N43" s="4" t="s">
        <v>2632</v>
      </c>
      <c r="O43" s="4" t="s">
        <v>2653</v>
      </c>
      <c r="P43" s="4" t="s">
        <v>2602</v>
      </c>
      <c r="Q43" s="4" t="s">
        <v>2528</v>
      </c>
      <c r="R43" s="4"/>
      <c r="S43" s="4"/>
      <c r="T43" s="4" t="str">
        <f>HYPERLINK("http://slimages.macys.com/is/image/MCY/20819681 ")</f>
        <v xml:space="preserve">http://slimages.macys.com/is/image/MCY/20819681 </v>
      </c>
    </row>
    <row r="44" spans="1:20" ht="15" customHeight="1" x14ac:dyDescent="0.25">
      <c r="A44" s="4" t="s">
        <v>2489</v>
      </c>
      <c r="B44" s="2" t="s">
        <v>2487</v>
      </c>
      <c r="C44" s="2" t="s">
        <v>2488</v>
      </c>
      <c r="D44" s="5" t="s">
        <v>2490</v>
      </c>
      <c r="E44" s="4" t="s">
        <v>2491</v>
      </c>
      <c r="F44" s="6">
        <v>14236745</v>
      </c>
      <c r="G44" s="3">
        <v>14236745</v>
      </c>
      <c r="H44" s="7">
        <v>733004729621</v>
      </c>
      <c r="I44" s="8" t="s">
        <v>992</v>
      </c>
      <c r="J44" s="4">
        <v>1</v>
      </c>
      <c r="K44" s="9">
        <v>23.99</v>
      </c>
      <c r="L44" s="9">
        <v>23.99</v>
      </c>
      <c r="M44" s="4" t="s">
        <v>2085</v>
      </c>
      <c r="N44" s="4" t="s">
        <v>2497</v>
      </c>
      <c r="O44" s="4" t="s">
        <v>2555</v>
      </c>
      <c r="P44" s="4" t="s">
        <v>2520</v>
      </c>
      <c r="Q44" s="4" t="s">
        <v>2521</v>
      </c>
      <c r="R44" s="4"/>
      <c r="S44" s="4"/>
      <c r="T44" s="4" t="str">
        <f>HYPERLINK("http://slimages.macys.com/is/image/MCY/20433729 ")</f>
        <v xml:space="preserve">http://slimages.macys.com/is/image/MCY/20433729 </v>
      </c>
    </row>
    <row r="45" spans="1:20" ht="15" customHeight="1" x14ac:dyDescent="0.25">
      <c r="A45" s="4" t="s">
        <v>2489</v>
      </c>
      <c r="B45" s="2" t="s">
        <v>2487</v>
      </c>
      <c r="C45" s="2" t="s">
        <v>2488</v>
      </c>
      <c r="D45" s="5" t="s">
        <v>2490</v>
      </c>
      <c r="E45" s="4" t="s">
        <v>2491</v>
      </c>
      <c r="F45" s="6">
        <v>14236745</v>
      </c>
      <c r="G45" s="3">
        <v>14236745</v>
      </c>
      <c r="H45" s="7">
        <v>191655192957</v>
      </c>
      <c r="I45" s="8" t="s">
        <v>993</v>
      </c>
      <c r="J45" s="4">
        <v>1</v>
      </c>
      <c r="K45" s="9">
        <v>24</v>
      </c>
      <c r="L45" s="9">
        <v>24</v>
      </c>
      <c r="M45" s="4" t="s">
        <v>994</v>
      </c>
      <c r="N45" s="4"/>
      <c r="O45" s="4" t="s">
        <v>2601</v>
      </c>
      <c r="P45" s="4" t="s">
        <v>2533</v>
      </c>
      <c r="Q45" s="4" t="s">
        <v>2748</v>
      </c>
      <c r="R45" s="4"/>
      <c r="S45" s="4"/>
      <c r="T45" s="4" t="str">
        <f>HYPERLINK("http://slimages.macys.com/is/image/MCY/18881617 ")</f>
        <v xml:space="preserve">http://slimages.macys.com/is/image/MCY/18881617 </v>
      </c>
    </row>
    <row r="46" spans="1:20" ht="15" customHeight="1" x14ac:dyDescent="0.25">
      <c r="A46" s="4" t="s">
        <v>2489</v>
      </c>
      <c r="B46" s="2" t="s">
        <v>2487</v>
      </c>
      <c r="C46" s="2" t="s">
        <v>2488</v>
      </c>
      <c r="D46" s="5" t="s">
        <v>2490</v>
      </c>
      <c r="E46" s="4" t="s">
        <v>2491</v>
      </c>
      <c r="F46" s="6">
        <v>14236745</v>
      </c>
      <c r="G46" s="3">
        <v>14236745</v>
      </c>
      <c r="H46" s="7">
        <v>733004085895</v>
      </c>
      <c r="I46" s="8" t="s">
        <v>3336</v>
      </c>
      <c r="J46" s="4">
        <v>2</v>
      </c>
      <c r="K46" s="9">
        <v>21.99</v>
      </c>
      <c r="L46" s="9">
        <v>43.98</v>
      </c>
      <c r="M46" s="4" t="s">
        <v>3337</v>
      </c>
      <c r="N46" s="4" t="s">
        <v>2523</v>
      </c>
      <c r="O46" s="4" t="s">
        <v>2498</v>
      </c>
      <c r="P46" s="4" t="s">
        <v>2543</v>
      </c>
      <c r="Q46" s="4" t="s">
        <v>2528</v>
      </c>
      <c r="R46" s="4"/>
      <c r="S46" s="4"/>
      <c r="T46" s="4" t="str">
        <f>HYPERLINK("http://slimages.macys.com/is/image/MCY/20084023 ")</f>
        <v xml:space="preserve">http://slimages.macys.com/is/image/MCY/20084023 </v>
      </c>
    </row>
    <row r="47" spans="1:20" ht="15" customHeight="1" x14ac:dyDescent="0.25">
      <c r="A47" s="4" t="s">
        <v>2489</v>
      </c>
      <c r="B47" s="2" t="s">
        <v>2487</v>
      </c>
      <c r="C47" s="2" t="s">
        <v>2488</v>
      </c>
      <c r="D47" s="5" t="s">
        <v>2490</v>
      </c>
      <c r="E47" s="4" t="s">
        <v>2491</v>
      </c>
      <c r="F47" s="6">
        <v>14236745</v>
      </c>
      <c r="G47" s="3">
        <v>14236745</v>
      </c>
      <c r="H47" s="7">
        <v>885031132117</v>
      </c>
      <c r="I47" s="8" t="s">
        <v>995</v>
      </c>
      <c r="J47" s="4">
        <v>1</v>
      </c>
      <c r="K47" s="9">
        <v>59.5</v>
      </c>
      <c r="L47" s="9">
        <v>59.5</v>
      </c>
      <c r="M47" s="4">
        <v>322713069004</v>
      </c>
      <c r="N47" s="4" t="s">
        <v>2731</v>
      </c>
      <c r="O47" s="4">
        <v>7</v>
      </c>
      <c r="P47" s="4" t="s">
        <v>2615</v>
      </c>
      <c r="Q47" s="4" t="s">
        <v>2616</v>
      </c>
      <c r="R47" s="4"/>
      <c r="S47" s="4"/>
      <c r="T47" s="4" t="str">
        <f>HYPERLINK("http://slimages.macys.com/is/image/MCY/20141479 ")</f>
        <v xml:space="preserve">http://slimages.macys.com/is/image/MCY/20141479 </v>
      </c>
    </row>
    <row r="48" spans="1:20" ht="15" customHeight="1" x14ac:dyDescent="0.25">
      <c r="A48" s="4" t="s">
        <v>2489</v>
      </c>
      <c r="B48" s="2" t="s">
        <v>2487</v>
      </c>
      <c r="C48" s="2" t="s">
        <v>2488</v>
      </c>
      <c r="D48" s="5" t="s">
        <v>2490</v>
      </c>
      <c r="E48" s="4" t="s">
        <v>2491</v>
      </c>
      <c r="F48" s="6">
        <v>14236745</v>
      </c>
      <c r="G48" s="3">
        <v>14236745</v>
      </c>
      <c r="H48" s="7">
        <v>733004780172</v>
      </c>
      <c r="I48" s="8" t="s">
        <v>1337</v>
      </c>
      <c r="J48" s="4">
        <v>1</v>
      </c>
      <c r="K48" s="9">
        <v>7.99</v>
      </c>
      <c r="L48" s="9">
        <v>7.99</v>
      </c>
      <c r="M48" s="4" t="s">
        <v>3149</v>
      </c>
      <c r="N48" s="4" t="s">
        <v>2638</v>
      </c>
      <c r="O48" s="4">
        <v>5</v>
      </c>
      <c r="P48" s="4" t="s">
        <v>2602</v>
      </c>
      <c r="Q48" s="4" t="s">
        <v>2528</v>
      </c>
      <c r="R48" s="4"/>
      <c r="S48" s="4"/>
      <c r="T48" s="4" t="str">
        <f>HYPERLINK("http://slimages.macys.com/is/image/MCY/20450168 ")</f>
        <v xml:space="preserve">http://slimages.macys.com/is/image/MCY/20450168 </v>
      </c>
    </row>
    <row r="49" spans="1:20" ht="15" customHeight="1" x14ac:dyDescent="0.25">
      <c r="A49" s="4" t="s">
        <v>2489</v>
      </c>
      <c r="B49" s="2" t="s">
        <v>2487</v>
      </c>
      <c r="C49" s="2" t="s">
        <v>2488</v>
      </c>
      <c r="D49" s="5" t="s">
        <v>2490</v>
      </c>
      <c r="E49" s="4" t="s">
        <v>2491</v>
      </c>
      <c r="F49" s="6">
        <v>14236745</v>
      </c>
      <c r="G49" s="3">
        <v>14236745</v>
      </c>
      <c r="H49" s="7">
        <v>733003642723</v>
      </c>
      <c r="I49" s="8" t="s">
        <v>483</v>
      </c>
      <c r="J49" s="4">
        <v>1</v>
      </c>
      <c r="K49" s="9">
        <v>22.99</v>
      </c>
      <c r="L49" s="9">
        <v>22.99</v>
      </c>
      <c r="M49" s="4" t="s">
        <v>2513</v>
      </c>
      <c r="N49" s="4" t="s">
        <v>2514</v>
      </c>
      <c r="O49" s="4" t="s">
        <v>2555</v>
      </c>
      <c r="P49" s="4" t="s">
        <v>2515</v>
      </c>
      <c r="Q49" s="4" t="s">
        <v>2516</v>
      </c>
      <c r="R49" s="4"/>
      <c r="S49" s="4"/>
      <c r="T49" s="4" t="str">
        <f>HYPERLINK("http://slimages.macys.com/is/image/MCY/20008078 ")</f>
        <v xml:space="preserve">http://slimages.macys.com/is/image/MCY/20008078 </v>
      </c>
    </row>
    <row r="50" spans="1:20" ht="15" customHeight="1" x14ac:dyDescent="0.25">
      <c r="A50" s="4" t="s">
        <v>2489</v>
      </c>
      <c r="B50" s="2" t="s">
        <v>2487</v>
      </c>
      <c r="C50" s="2" t="s">
        <v>2488</v>
      </c>
      <c r="D50" s="5" t="s">
        <v>2490</v>
      </c>
      <c r="E50" s="4" t="s">
        <v>2491</v>
      </c>
      <c r="F50" s="6">
        <v>14236745</v>
      </c>
      <c r="G50" s="3">
        <v>14236745</v>
      </c>
      <c r="H50" s="7">
        <v>733003642747</v>
      </c>
      <c r="I50" s="8" t="s">
        <v>3388</v>
      </c>
      <c r="J50" s="4">
        <v>2</v>
      </c>
      <c r="K50" s="9">
        <v>22.99</v>
      </c>
      <c r="L50" s="9">
        <v>45.98</v>
      </c>
      <c r="M50" s="4" t="s">
        <v>2513</v>
      </c>
      <c r="N50" s="4" t="s">
        <v>2514</v>
      </c>
      <c r="O50" s="4" t="s">
        <v>2671</v>
      </c>
      <c r="P50" s="4" t="s">
        <v>2515</v>
      </c>
      <c r="Q50" s="4" t="s">
        <v>2516</v>
      </c>
      <c r="R50" s="4"/>
      <c r="S50" s="4"/>
      <c r="T50" s="4" t="str">
        <f>HYPERLINK("http://slimages.macys.com/is/image/MCY/20008078 ")</f>
        <v xml:space="preserve">http://slimages.macys.com/is/image/MCY/20008078 </v>
      </c>
    </row>
    <row r="51" spans="1:20" ht="15" customHeight="1" x14ac:dyDescent="0.25">
      <c r="A51" s="4" t="s">
        <v>2489</v>
      </c>
      <c r="B51" s="2" t="s">
        <v>2487</v>
      </c>
      <c r="C51" s="2" t="s">
        <v>2488</v>
      </c>
      <c r="D51" s="5" t="s">
        <v>2490</v>
      </c>
      <c r="E51" s="4" t="s">
        <v>2491</v>
      </c>
      <c r="F51" s="6">
        <v>14236745</v>
      </c>
      <c r="G51" s="3">
        <v>14236745</v>
      </c>
      <c r="H51" s="7">
        <v>807421426071</v>
      </c>
      <c r="I51" s="8" t="s">
        <v>996</v>
      </c>
      <c r="J51" s="4">
        <v>1</v>
      </c>
      <c r="K51" s="9">
        <v>40</v>
      </c>
      <c r="L51" s="9">
        <v>40</v>
      </c>
      <c r="M51" s="4" t="s">
        <v>3012</v>
      </c>
      <c r="N51" s="4" t="s">
        <v>3084</v>
      </c>
      <c r="O51" s="4" t="s">
        <v>2555</v>
      </c>
      <c r="P51" s="4" t="s">
        <v>2725</v>
      </c>
      <c r="Q51" s="4" t="s">
        <v>2726</v>
      </c>
      <c r="R51" s="4"/>
      <c r="S51" s="4"/>
      <c r="T51" s="4" t="str">
        <f>HYPERLINK("http://slimages.macys.com/is/image/MCY/19770374 ")</f>
        <v xml:space="preserve">http://slimages.macys.com/is/image/MCY/19770374 </v>
      </c>
    </row>
    <row r="52" spans="1:20" ht="15" customHeight="1" x14ac:dyDescent="0.25">
      <c r="A52" s="4" t="s">
        <v>2489</v>
      </c>
      <c r="B52" s="2" t="s">
        <v>2487</v>
      </c>
      <c r="C52" s="2" t="s">
        <v>2488</v>
      </c>
      <c r="D52" s="5" t="s">
        <v>2490</v>
      </c>
      <c r="E52" s="4" t="s">
        <v>2491</v>
      </c>
      <c r="F52" s="6">
        <v>14236745</v>
      </c>
      <c r="G52" s="3">
        <v>14236745</v>
      </c>
      <c r="H52" s="7">
        <v>733001037750</v>
      </c>
      <c r="I52" s="8" t="s">
        <v>1868</v>
      </c>
      <c r="J52" s="4">
        <v>1</v>
      </c>
      <c r="K52" s="9">
        <v>6.99</v>
      </c>
      <c r="L52" s="9">
        <v>6.99</v>
      </c>
      <c r="M52" s="4" t="s">
        <v>3064</v>
      </c>
      <c r="N52" s="4" t="s">
        <v>2497</v>
      </c>
      <c r="O52" s="4" t="s">
        <v>2519</v>
      </c>
      <c r="P52" s="4" t="s">
        <v>2520</v>
      </c>
      <c r="Q52" s="4" t="s">
        <v>2521</v>
      </c>
      <c r="R52" s="4"/>
      <c r="S52" s="4"/>
      <c r="T52" s="4" t="str">
        <f>HYPERLINK("http://slimages.macys.com/is/image/MCY/19257819 ")</f>
        <v xml:space="preserve">http://slimages.macys.com/is/image/MCY/19257819 </v>
      </c>
    </row>
    <row r="53" spans="1:20" ht="15" customHeight="1" x14ac:dyDescent="0.25">
      <c r="A53" s="4" t="s">
        <v>2489</v>
      </c>
      <c r="B53" s="2" t="s">
        <v>2487</v>
      </c>
      <c r="C53" s="2" t="s">
        <v>2488</v>
      </c>
      <c r="D53" s="5" t="s">
        <v>2490</v>
      </c>
      <c r="E53" s="4" t="s">
        <v>2491</v>
      </c>
      <c r="F53" s="6">
        <v>14236745</v>
      </c>
      <c r="G53" s="3">
        <v>14236745</v>
      </c>
      <c r="H53" s="7">
        <v>762120263948</v>
      </c>
      <c r="I53" s="8" t="s">
        <v>997</v>
      </c>
      <c r="J53" s="4">
        <v>1</v>
      </c>
      <c r="K53" s="9">
        <v>21.99</v>
      </c>
      <c r="L53" s="9">
        <v>21.99</v>
      </c>
      <c r="M53" s="4" t="s">
        <v>1909</v>
      </c>
      <c r="N53" s="4" t="s">
        <v>2501</v>
      </c>
      <c r="O53" s="4" t="s">
        <v>2671</v>
      </c>
      <c r="P53" s="4" t="s">
        <v>2543</v>
      </c>
      <c r="Q53" s="4" t="s">
        <v>2528</v>
      </c>
      <c r="R53" s="4"/>
      <c r="S53" s="4"/>
      <c r="T53" s="4" t="str">
        <f>HYPERLINK("http://slimages.macys.com/is/image/MCY/20846592 ")</f>
        <v xml:space="preserve">http://slimages.macys.com/is/image/MCY/20846592 </v>
      </c>
    </row>
    <row r="54" spans="1:20" ht="15" customHeight="1" x14ac:dyDescent="0.25">
      <c r="A54" s="4" t="s">
        <v>2489</v>
      </c>
      <c r="B54" s="2" t="s">
        <v>2487</v>
      </c>
      <c r="C54" s="2" t="s">
        <v>2488</v>
      </c>
      <c r="D54" s="5" t="s">
        <v>2490</v>
      </c>
      <c r="E54" s="4" t="s">
        <v>2491</v>
      </c>
      <c r="F54" s="6">
        <v>14236745</v>
      </c>
      <c r="G54" s="3">
        <v>14236745</v>
      </c>
      <c r="H54" s="7">
        <v>762120084857</v>
      </c>
      <c r="I54" s="8" t="s">
        <v>998</v>
      </c>
      <c r="J54" s="4">
        <v>1</v>
      </c>
      <c r="K54" s="9">
        <v>7.99</v>
      </c>
      <c r="L54" s="9">
        <v>7.99</v>
      </c>
      <c r="M54" s="4" t="s">
        <v>2094</v>
      </c>
      <c r="N54" s="4" t="s">
        <v>2567</v>
      </c>
      <c r="O54" s="4" t="s">
        <v>2650</v>
      </c>
      <c r="P54" s="4" t="s">
        <v>2602</v>
      </c>
      <c r="Q54" s="4" t="s">
        <v>2528</v>
      </c>
      <c r="R54" s="4"/>
      <c r="S54" s="4"/>
      <c r="T54" s="4" t="str">
        <f>HYPERLINK("http://slimages.macys.com/is/image/MCY/20691796 ")</f>
        <v xml:space="preserve">http://slimages.macys.com/is/image/MCY/20691796 </v>
      </c>
    </row>
    <row r="55" spans="1:20" ht="15" customHeight="1" x14ac:dyDescent="0.25">
      <c r="A55" s="4" t="s">
        <v>2489</v>
      </c>
      <c r="B55" s="2" t="s">
        <v>2487</v>
      </c>
      <c r="C55" s="2" t="s">
        <v>2488</v>
      </c>
      <c r="D55" s="5" t="s">
        <v>2490</v>
      </c>
      <c r="E55" s="4" t="s">
        <v>2491</v>
      </c>
      <c r="F55" s="6">
        <v>14236745</v>
      </c>
      <c r="G55" s="3">
        <v>14236745</v>
      </c>
      <c r="H55" s="7">
        <v>733004782756</v>
      </c>
      <c r="I55" s="8" t="s">
        <v>999</v>
      </c>
      <c r="J55" s="4">
        <v>1</v>
      </c>
      <c r="K55" s="9">
        <v>7.99</v>
      </c>
      <c r="L55" s="9">
        <v>7.99</v>
      </c>
      <c r="M55" s="4" t="s">
        <v>1810</v>
      </c>
      <c r="N55" s="4" t="s">
        <v>2561</v>
      </c>
      <c r="O55" s="4" t="s">
        <v>2628</v>
      </c>
      <c r="P55" s="4" t="s">
        <v>2602</v>
      </c>
      <c r="Q55" s="4" t="s">
        <v>2528</v>
      </c>
      <c r="R55" s="4"/>
      <c r="S55" s="4"/>
      <c r="T55" s="4" t="str">
        <f>HYPERLINK("http://slimages.macys.com/is/image/MCY/1040305 ")</f>
        <v xml:space="preserve">http://slimages.macys.com/is/image/MCY/1040305 </v>
      </c>
    </row>
    <row r="56" spans="1:20" ht="15" customHeight="1" x14ac:dyDescent="0.25">
      <c r="A56" s="4" t="s">
        <v>2489</v>
      </c>
      <c r="B56" s="2" t="s">
        <v>2487</v>
      </c>
      <c r="C56" s="2" t="s">
        <v>2488</v>
      </c>
      <c r="D56" s="5" t="s">
        <v>2490</v>
      </c>
      <c r="E56" s="4" t="s">
        <v>2491</v>
      </c>
      <c r="F56" s="6">
        <v>14236745</v>
      </c>
      <c r="G56" s="3">
        <v>14236745</v>
      </c>
      <c r="H56" s="7">
        <v>733004752049</v>
      </c>
      <c r="I56" s="8" t="s">
        <v>1795</v>
      </c>
      <c r="J56" s="4">
        <v>1</v>
      </c>
      <c r="K56" s="9">
        <v>13.99</v>
      </c>
      <c r="L56" s="9">
        <v>13.99</v>
      </c>
      <c r="M56" s="4" t="s">
        <v>1796</v>
      </c>
      <c r="N56" s="4" t="s">
        <v>2523</v>
      </c>
      <c r="O56" s="4" t="s">
        <v>2671</v>
      </c>
      <c r="P56" s="4" t="s">
        <v>2543</v>
      </c>
      <c r="Q56" s="4" t="s">
        <v>2528</v>
      </c>
      <c r="R56" s="4"/>
      <c r="S56" s="4"/>
      <c r="T56" s="4" t="str">
        <f>HYPERLINK("http://slimages.macys.com/is/image/MCY/20440815 ")</f>
        <v xml:space="preserve">http://slimages.macys.com/is/image/MCY/20440815 </v>
      </c>
    </row>
    <row r="57" spans="1:20" ht="15" customHeight="1" x14ac:dyDescent="0.25">
      <c r="A57" s="4" t="s">
        <v>2489</v>
      </c>
      <c r="B57" s="2" t="s">
        <v>2487</v>
      </c>
      <c r="C57" s="2" t="s">
        <v>2488</v>
      </c>
      <c r="D57" s="5" t="s">
        <v>2490</v>
      </c>
      <c r="E57" s="4" t="s">
        <v>2491</v>
      </c>
      <c r="F57" s="6">
        <v>14236745</v>
      </c>
      <c r="G57" s="3">
        <v>14236745</v>
      </c>
      <c r="H57" s="7">
        <v>762120689311</v>
      </c>
      <c r="I57" s="8" t="s">
        <v>2395</v>
      </c>
      <c r="J57" s="4">
        <v>2</v>
      </c>
      <c r="K57" s="9">
        <v>16.989999999999998</v>
      </c>
      <c r="L57" s="9">
        <v>33.979999999999997</v>
      </c>
      <c r="M57" s="4" t="s">
        <v>3031</v>
      </c>
      <c r="N57" s="4" t="s">
        <v>2518</v>
      </c>
      <c r="O57" s="4" t="s">
        <v>2555</v>
      </c>
      <c r="P57" s="4" t="s">
        <v>2515</v>
      </c>
      <c r="Q57" s="4" t="s">
        <v>2672</v>
      </c>
      <c r="R57" s="4"/>
      <c r="S57" s="4"/>
      <c r="T57" s="4" t="str">
        <f>HYPERLINK("http://slimages.macys.com/is/image/MCY/20549489 ")</f>
        <v xml:space="preserve">http://slimages.macys.com/is/image/MCY/20549489 </v>
      </c>
    </row>
    <row r="58" spans="1:20" ht="15" customHeight="1" x14ac:dyDescent="0.25">
      <c r="A58" s="4" t="s">
        <v>2489</v>
      </c>
      <c r="B58" s="2" t="s">
        <v>2487</v>
      </c>
      <c r="C58" s="2" t="s">
        <v>2488</v>
      </c>
      <c r="D58" s="5" t="s">
        <v>2490</v>
      </c>
      <c r="E58" s="4" t="s">
        <v>2491</v>
      </c>
      <c r="F58" s="6">
        <v>14236745</v>
      </c>
      <c r="G58" s="3">
        <v>14236745</v>
      </c>
      <c r="H58" s="7">
        <v>194135491298</v>
      </c>
      <c r="I58" s="8" t="s">
        <v>1000</v>
      </c>
      <c r="J58" s="4">
        <v>1</v>
      </c>
      <c r="K58" s="9">
        <v>13.51</v>
      </c>
      <c r="L58" s="9">
        <v>13.51</v>
      </c>
      <c r="M58" s="4" t="s">
        <v>1001</v>
      </c>
      <c r="N58" s="4"/>
      <c r="O58" s="4" t="s">
        <v>2502</v>
      </c>
      <c r="P58" s="4" t="s">
        <v>2494</v>
      </c>
      <c r="Q58" s="4" t="s">
        <v>2560</v>
      </c>
      <c r="R58" s="4"/>
      <c r="S58" s="4"/>
      <c r="T58" s="4" t="str">
        <f>HYPERLINK("http://slimages.macys.com/is/image/MCY/19837057 ")</f>
        <v xml:space="preserve">http://slimages.macys.com/is/image/MCY/19837057 </v>
      </c>
    </row>
    <row r="59" spans="1:20" ht="15" customHeight="1" x14ac:dyDescent="0.25">
      <c r="A59" s="4" t="s">
        <v>2489</v>
      </c>
      <c r="B59" s="2" t="s">
        <v>2487</v>
      </c>
      <c r="C59" s="2" t="s">
        <v>2488</v>
      </c>
      <c r="D59" s="5" t="s">
        <v>2490</v>
      </c>
      <c r="E59" s="4" t="s">
        <v>2491</v>
      </c>
      <c r="F59" s="6">
        <v>14236745</v>
      </c>
      <c r="G59" s="3">
        <v>14236745</v>
      </c>
      <c r="H59" s="7">
        <v>762120689335</v>
      </c>
      <c r="I59" s="8" t="s">
        <v>1162</v>
      </c>
      <c r="J59" s="4">
        <v>1</v>
      </c>
      <c r="K59" s="9">
        <v>16.989999999999998</v>
      </c>
      <c r="L59" s="9">
        <v>16.989999999999998</v>
      </c>
      <c r="M59" s="4" t="s">
        <v>3031</v>
      </c>
      <c r="N59" s="4" t="s">
        <v>2518</v>
      </c>
      <c r="O59" s="4" t="s">
        <v>2671</v>
      </c>
      <c r="P59" s="4" t="s">
        <v>2515</v>
      </c>
      <c r="Q59" s="4" t="s">
        <v>2672</v>
      </c>
      <c r="R59" s="4"/>
      <c r="S59" s="4"/>
      <c r="T59" s="4" t="str">
        <f>HYPERLINK("http://slimages.macys.com/is/image/MCY/20549489 ")</f>
        <v xml:space="preserve">http://slimages.macys.com/is/image/MCY/20549489 </v>
      </c>
    </row>
    <row r="60" spans="1:20" ht="15" customHeight="1" x14ac:dyDescent="0.25">
      <c r="A60" s="4" t="s">
        <v>2489</v>
      </c>
      <c r="B60" s="2" t="s">
        <v>2487</v>
      </c>
      <c r="C60" s="2" t="s">
        <v>2488</v>
      </c>
      <c r="D60" s="5" t="s">
        <v>2490</v>
      </c>
      <c r="E60" s="4" t="s">
        <v>2491</v>
      </c>
      <c r="F60" s="6">
        <v>14236745</v>
      </c>
      <c r="G60" s="3">
        <v>14236745</v>
      </c>
      <c r="H60" s="7">
        <v>889799988283</v>
      </c>
      <c r="I60" s="8" t="s">
        <v>1860</v>
      </c>
      <c r="J60" s="4">
        <v>1</v>
      </c>
      <c r="K60" s="9">
        <v>22.99</v>
      </c>
      <c r="L60" s="9">
        <v>22.99</v>
      </c>
      <c r="M60" s="4" t="s">
        <v>3440</v>
      </c>
      <c r="N60" s="4" t="s">
        <v>2544</v>
      </c>
      <c r="O60" s="4">
        <v>8</v>
      </c>
      <c r="P60" s="4" t="s">
        <v>2569</v>
      </c>
      <c r="Q60" s="4" t="s">
        <v>2590</v>
      </c>
      <c r="R60" s="4"/>
      <c r="S60" s="4"/>
      <c r="T60" s="4" t="str">
        <f>HYPERLINK("http://slimages.macys.com/is/image/MCY/20145291 ")</f>
        <v xml:space="preserve">http://slimages.macys.com/is/image/MCY/20145291 </v>
      </c>
    </row>
    <row r="61" spans="1:20" ht="15" customHeight="1" x14ac:dyDescent="0.25">
      <c r="A61" s="4" t="s">
        <v>2489</v>
      </c>
      <c r="B61" s="2" t="s">
        <v>2487</v>
      </c>
      <c r="C61" s="2" t="s">
        <v>2488</v>
      </c>
      <c r="D61" s="5" t="s">
        <v>2490</v>
      </c>
      <c r="E61" s="4" t="s">
        <v>2491</v>
      </c>
      <c r="F61" s="6">
        <v>14236745</v>
      </c>
      <c r="G61" s="3">
        <v>14236745</v>
      </c>
      <c r="H61" s="7">
        <v>733004295270</v>
      </c>
      <c r="I61" s="8" t="s">
        <v>1002</v>
      </c>
      <c r="J61" s="4">
        <v>1</v>
      </c>
      <c r="K61" s="9">
        <v>12.99</v>
      </c>
      <c r="L61" s="9">
        <v>12.99</v>
      </c>
      <c r="M61" s="4" t="s">
        <v>3435</v>
      </c>
      <c r="N61" s="4" t="s">
        <v>2600</v>
      </c>
      <c r="O61" s="4" t="s">
        <v>2566</v>
      </c>
      <c r="P61" s="4" t="s">
        <v>2503</v>
      </c>
      <c r="Q61" s="4" t="s">
        <v>2504</v>
      </c>
      <c r="R61" s="4"/>
      <c r="S61" s="4"/>
      <c r="T61" s="4" t="str">
        <f>HYPERLINK("http://slimages.macys.com/is/image/MCY/19217922 ")</f>
        <v xml:space="preserve">http://slimages.macys.com/is/image/MCY/19217922 </v>
      </c>
    </row>
    <row r="62" spans="1:20" ht="15" customHeight="1" x14ac:dyDescent="0.25">
      <c r="A62" s="4" t="s">
        <v>2489</v>
      </c>
      <c r="B62" s="2" t="s">
        <v>2487</v>
      </c>
      <c r="C62" s="2" t="s">
        <v>2488</v>
      </c>
      <c r="D62" s="5" t="s">
        <v>2490</v>
      </c>
      <c r="E62" s="4" t="s">
        <v>2491</v>
      </c>
      <c r="F62" s="6">
        <v>14236745</v>
      </c>
      <c r="G62" s="3">
        <v>14236745</v>
      </c>
      <c r="H62" s="7">
        <v>194135409415</v>
      </c>
      <c r="I62" s="8" t="s">
        <v>1003</v>
      </c>
      <c r="J62" s="4">
        <v>1</v>
      </c>
      <c r="K62" s="9">
        <v>25.07</v>
      </c>
      <c r="L62" s="9">
        <v>25.07</v>
      </c>
      <c r="M62" s="4" t="s">
        <v>2675</v>
      </c>
      <c r="N62" s="4"/>
      <c r="O62" s="4" t="s">
        <v>2493</v>
      </c>
      <c r="P62" s="4" t="s">
        <v>2494</v>
      </c>
      <c r="Q62" s="4" t="s">
        <v>2560</v>
      </c>
      <c r="R62" s="4"/>
      <c r="S62" s="4"/>
      <c r="T62" s="4"/>
    </row>
    <row r="63" spans="1:20" ht="15" customHeight="1" x14ac:dyDescent="0.25">
      <c r="A63" s="4" t="s">
        <v>2489</v>
      </c>
      <c r="B63" s="2" t="s">
        <v>2487</v>
      </c>
      <c r="C63" s="2" t="s">
        <v>2488</v>
      </c>
      <c r="D63" s="5" t="s">
        <v>2490</v>
      </c>
      <c r="E63" s="4" t="s">
        <v>2491</v>
      </c>
      <c r="F63" s="6">
        <v>14236745</v>
      </c>
      <c r="G63" s="3">
        <v>14236745</v>
      </c>
      <c r="H63" s="7">
        <v>733004778971</v>
      </c>
      <c r="I63" s="8" t="s">
        <v>1603</v>
      </c>
      <c r="J63" s="4">
        <v>1</v>
      </c>
      <c r="K63" s="9">
        <v>7.99</v>
      </c>
      <c r="L63" s="9">
        <v>7.99</v>
      </c>
      <c r="M63" s="4" t="s">
        <v>1592</v>
      </c>
      <c r="N63" s="4" t="s">
        <v>2501</v>
      </c>
      <c r="O63" s="4" t="s">
        <v>2650</v>
      </c>
      <c r="P63" s="4" t="s">
        <v>2602</v>
      </c>
      <c r="Q63" s="4" t="s">
        <v>2528</v>
      </c>
      <c r="R63" s="4"/>
      <c r="S63" s="4"/>
      <c r="T63" s="4" t="str">
        <f>HYPERLINK("http://slimages.macys.com/is/image/MCY/20450140 ")</f>
        <v xml:space="preserve">http://slimages.macys.com/is/image/MCY/20450140 </v>
      </c>
    </row>
    <row r="64" spans="1:20" ht="15" customHeight="1" x14ac:dyDescent="0.25">
      <c r="A64" s="4" t="s">
        <v>2489</v>
      </c>
      <c r="B64" s="2" t="s">
        <v>2487</v>
      </c>
      <c r="C64" s="2" t="s">
        <v>2488</v>
      </c>
      <c r="D64" s="5" t="s">
        <v>2490</v>
      </c>
      <c r="E64" s="4" t="s">
        <v>2491</v>
      </c>
      <c r="F64" s="6">
        <v>14236745</v>
      </c>
      <c r="G64" s="3">
        <v>14236745</v>
      </c>
      <c r="H64" s="7">
        <v>196027095232</v>
      </c>
      <c r="I64" s="8" t="s">
        <v>2896</v>
      </c>
      <c r="J64" s="4">
        <v>1</v>
      </c>
      <c r="K64" s="9">
        <v>27.99</v>
      </c>
      <c r="L64" s="9">
        <v>27.99</v>
      </c>
      <c r="M64" s="4" t="s">
        <v>2108</v>
      </c>
      <c r="N64" s="4" t="s">
        <v>2544</v>
      </c>
      <c r="O64" s="10">
        <v>45084</v>
      </c>
      <c r="P64" s="4" t="s">
        <v>2569</v>
      </c>
      <c r="Q64" s="4" t="s">
        <v>2898</v>
      </c>
      <c r="R64" s="4"/>
      <c r="S64" s="4"/>
      <c r="T64" s="4" t="str">
        <f>HYPERLINK("http://slimages.macys.com/is/image/MCY/20750304 ")</f>
        <v xml:space="preserve">http://slimages.macys.com/is/image/MCY/20750304 </v>
      </c>
    </row>
    <row r="65" spans="1:20" ht="15" customHeight="1" x14ac:dyDescent="0.25">
      <c r="A65" s="4" t="s">
        <v>2489</v>
      </c>
      <c r="B65" s="2" t="s">
        <v>2487</v>
      </c>
      <c r="C65" s="2" t="s">
        <v>2488</v>
      </c>
      <c r="D65" s="5" t="s">
        <v>2490</v>
      </c>
      <c r="E65" s="4" t="s">
        <v>2491</v>
      </c>
      <c r="F65" s="6">
        <v>14236745</v>
      </c>
      <c r="G65" s="3">
        <v>14236745</v>
      </c>
      <c r="H65" s="7">
        <v>194135454873</v>
      </c>
      <c r="I65" s="8" t="s">
        <v>1004</v>
      </c>
      <c r="J65" s="4">
        <v>1</v>
      </c>
      <c r="K65" s="9">
        <v>15.36</v>
      </c>
      <c r="L65" s="9">
        <v>15.36</v>
      </c>
      <c r="M65" s="4" t="s">
        <v>1005</v>
      </c>
      <c r="N65" s="4"/>
      <c r="O65" s="4" t="s">
        <v>2597</v>
      </c>
      <c r="P65" s="4" t="s">
        <v>2494</v>
      </c>
      <c r="Q65" s="4" t="s">
        <v>2495</v>
      </c>
      <c r="R65" s="4"/>
      <c r="S65" s="4"/>
      <c r="T65" s="4" t="str">
        <f>HYPERLINK("http://slimages.macys.com/is/image/MCY/19916377 ")</f>
        <v xml:space="preserve">http://slimages.macys.com/is/image/MCY/19916377 </v>
      </c>
    </row>
    <row r="66" spans="1:20" ht="15" customHeight="1" x14ac:dyDescent="0.25">
      <c r="A66" s="4" t="s">
        <v>2489</v>
      </c>
      <c r="B66" s="2" t="s">
        <v>2487</v>
      </c>
      <c r="C66" s="2" t="s">
        <v>2488</v>
      </c>
      <c r="D66" s="5" t="s">
        <v>2490</v>
      </c>
      <c r="E66" s="4" t="s">
        <v>2491</v>
      </c>
      <c r="F66" s="6">
        <v>14236745</v>
      </c>
      <c r="G66" s="3">
        <v>14236745</v>
      </c>
      <c r="H66" s="7">
        <v>194135476387</v>
      </c>
      <c r="I66" s="8" t="s">
        <v>1006</v>
      </c>
      <c r="J66" s="4">
        <v>1</v>
      </c>
      <c r="K66" s="9">
        <v>17.29</v>
      </c>
      <c r="L66" s="9">
        <v>17.29</v>
      </c>
      <c r="M66" s="4" t="s">
        <v>1007</v>
      </c>
      <c r="N66" s="4"/>
      <c r="O66" s="4" t="s">
        <v>2493</v>
      </c>
      <c r="P66" s="4" t="s">
        <v>2494</v>
      </c>
      <c r="Q66" s="4" t="s">
        <v>2495</v>
      </c>
      <c r="R66" s="4"/>
      <c r="S66" s="4"/>
      <c r="T66" s="4" t="str">
        <f>HYPERLINK("http://slimages.macys.com/is/image/MCY/19917014 ")</f>
        <v xml:space="preserve">http://slimages.macys.com/is/image/MCY/19917014 </v>
      </c>
    </row>
    <row r="67" spans="1:20" ht="15" customHeight="1" x14ac:dyDescent="0.25">
      <c r="A67" s="4" t="s">
        <v>2489</v>
      </c>
      <c r="B67" s="2" t="s">
        <v>2487</v>
      </c>
      <c r="C67" s="2" t="s">
        <v>2488</v>
      </c>
      <c r="D67" s="5" t="s">
        <v>2490</v>
      </c>
      <c r="E67" s="4" t="s">
        <v>2491</v>
      </c>
      <c r="F67" s="6">
        <v>14236745</v>
      </c>
      <c r="G67" s="3">
        <v>14236745</v>
      </c>
      <c r="H67" s="7">
        <v>733004727870</v>
      </c>
      <c r="I67" s="8" t="s">
        <v>1008</v>
      </c>
      <c r="J67" s="4">
        <v>1</v>
      </c>
      <c r="K67" s="9">
        <v>24.99</v>
      </c>
      <c r="L67" s="9">
        <v>24.99</v>
      </c>
      <c r="M67" s="4" t="s">
        <v>3052</v>
      </c>
      <c r="N67" s="4" t="s">
        <v>2747</v>
      </c>
      <c r="O67" s="4" t="s">
        <v>2532</v>
      </c>
      <c r="P67" s="4" t="s">
        <v>2520</v>
      </c>
      <c r="Q67" s="4" t="s">
        <v>2521</v>
      </c>
      <c r="R67" s="4"/>
      <c r="S67" s="4"/>
      <c r="T67" s="4" t="str">
        <f>HYPERLINK("http://slimages.macys.com/is/image/MCY/20433917 ")</f>
        <v xml:space="preserve">http://slimages.macys.com/is/image/MCY/20433917 </v>
      </c>
    </row>
    <row r="68" spans="1:20" ht="15" customHeight="1" x14ac:dyDescent="0.25">
      <c r="A68" s="4" t="s">
        <v>2489</v>
      </c>
      <c r="B68" s="2" t="s">
        <v>2487</v>
      </c>
      <c r="C68" s="2" t="s">
        <v>2488</v>
      </c>
      <c r="D68" s="5" t="s">
        <v>2490</v>
      </c>
      <c r="E68" s="4" t="s">
        <v>2491</v>
      </c>
      <c r="F68" s="6">
        <v>14236745</v>
      </c>
      <c r="G68" s="3">
        <v>14236745</v>
      </c>
      <c r="H68" s="7">
        <v>762120119665</v>
      </c>
      <c r="I68" s="8" t="s">
        <v>1957</v>
      </c>
      <c r="J68" s="4">
        <v>1</v>
      </c>
      <c r="K68" s="9">
        <v>6.99</v>
      </c>
      <c r="L68" s="9">
        <v>6.99</v>
      </c>
      <c r="M68" s="4" t="s">
        <v>3245</v>
      </c>
      <c r="N68" s="4" t="s">
        <v>2497</v>
      </c>
      <c r="O68" s="4" t="s">
        <v>2566</v>
      </c>
      <c r="P68" s="4" t="s">
        <v>2503</v>
      </c>
      <c r="Q68" s="4" t="s">
        <v>2504</v>
      </c>
      <c r="R68" s="4"/>
      <c r="S68" s="4"/>
      <c r="T68" s="4" t="str">
        <f>HYPERLINK("http://slimages.macys.com/is/image/MCY/20386245 ")</f>
        <v xml:space="preserve">http://slimages.macys.com/is/image/MCY/20386245 </v>
      </c>
    </row>
    <row r="69" spans="1:20" ht="15" customHeight="1" x14ac:dyDescent="0.25">
      <c r="A69" s="4" t="s">
        <v>2489</v>
      </c>
      <c r="B69" s="2" t="s">
        <v>2487</v>
      </c>
      <c r="C69" s="2" t="s">
        <v>2488</v>
      </c>
      <c r="D69" s="5" t="s">
        <v>2490</v>
      </c>
      <c r="E69" s="4" t="s">
        <v>2491</v>
      </c>
      <c r="F69" s="6">
        <v>14236745</v>
      </c>
      <c r="G69" s="3">
        <v>14236745</v>
      </c>
      <c r="H69" s="7">
        <v>492030649210</v>
      </c>
      <c r="I69" s="8" t="s">
        <v>1243</v>
      </c>
      <c r="J69" s="4">
        <v>1</v>
      </c>
      <c r="K69" s="9">
        <v>7.5</v>
      </c>
      <c r="L69" s="9">
        <v>7.5</v>
      </c>
      <c r="M69" s="4" t="s">
        <v>1244</v>
      </c>
      <c r="N69" s="4" t="s">
        <v>2769</v>
      </c>
      <c r="O69" s="4" t="s">
        <v>2669</v>
      </c>
      <c r="P69" s="4" t="s">
        <v>2503</v>
      </c>
      <c r="Q69" s="4" t="s">
        <v>2504</v>
      </c>
      <c r="R69" s="4"/>
      <c r="S69" s="4"/>
      <c r="T69" s="4"/>
    </row>
    <row r="70" spans="1:20" ht="15" customHeight="1" x14ac:dyDescent="0.25">
      <c r="A70" s="4" t="s">
        <v>2489</v>
      </c>
      <c r="B70" s="2" t="s">
        <v>2487</v>
      </c>
      <c r="C70" s="2" t="s">
        <v>2488</v>
      </c>
      <c r="D70" s="5" t="s">
        <v>2490</v>
      </c>
      <c r="E70" s="4" t="s">
        <v>2491</v>
      </c>
      <c r="F70" s="6">
        <v>14236745</v>
      </c>
      <c r="G70" s="3">
        <v>14236745</v>
      </c>
      <c r="H70" s="7">
        <v>194134757746</v>
      </c>
      <c r="I70" s="8" t="s">
        <v>1009</v>
      </c>
      <c r="J70" s="4">
        <v>1</v>
      </c>
      <c r="K70" s="9">
        <v>20</v>
      </c>
      <c r="L70" s="9">
        <v>20</v>
      </c>
      <c r="M70" s="4" t="s">
        <v>1010</v>
      </c>
      <c r="N70" s="4" t="s">
        <v>2664</v>
      </c>
      <c r="O70" s="4" t="s">
        <v>2559</v>
      </c>
      <c r="P70" s="4" t="s">
        <v>2533</v>
      </c>
      <c r="Q70" s="4" t="s">
        <v>2730</v>
      </c>
      <c r="R70" s="4"/>
      <c r="S70" s="4"/>
      <c r="T70" s="4" t="str">
        <f>HYPERLINK("http://slimages.macys.com/is/image/MCY/20313073 ")</f>
        <v xml:space="preserve">http://slimages.macys.com/is/image/MCY/20313073 </v>
      </c>
    </row>
    <row r="71" spans="1:20" ht="15" customHeight="1" x14ac:dyDescent="0.25">
      <c r="A71" s="4" t="s">
        <v>2489</v>
      </c>
      <c r="B71" s="2" t="s">
        <v>2487</v>
      </c>
      <c r="C71" s="2" t="s">
        <v>2488</v>
      </c>
      <c r="D71" s="5" t="s">
        <v>2490</v>
      </c>
      <c r="E71" s="4" t="s">
        <v>2491</v>
      </c>
      <c r="F71" s="6">
        <v>14236745</v>
      </c>
      <c r="G71" s="3">
        <v>14236745</v>
      </c>
      <c r="H71" s="7">
        <v>726108384780</v>
      </c>
      <c r="I71" s="8" t="s">
        <v>3243</v>
      </c>
      <c r="J71" s="4">
        <v>1</v>
      </c>
      <c r="K71" s="9">
        <v>100</v>
      </c>
      <c r="L71" s="9">
        <v>100</v>
      </c>
      <c r="M71" s="4">
        <v>726108384780</v>
      </c>
      <c r="N71" s="4"/>
      <c r="O71" s="4" t="s">
        <v>2669</v>
      </c>
      <c r="P71" s="4" t="s">
        <v>2550</v>
      </c>
      <c r="Q71" s="4" t="s">
        <v>2706</v>
      </c>
      <c r="R71" s="4"/>
      <c r="S71" s="4"/>
      <c r="T71" s="4"/>
    </row>
    <row r="72" spans="1:20" ht="15" customHeight="1" x14ac:dyDescent="0.25">
      <c r="A72" s="4" t="s">
        <v>2489</v>
      </c>
      <c r="B72" s="2" t="s">
        <v>2487</v>
      </c>
      <c r="C72" s="2" t="s">
        <v>2488</v>
      </c>
      <c r="D72" s="5" t="s">
        <v>2490</v>
      </c>
      <c r="E72" s="4" t="s">
        <v>2491</v>
      </c>
      <c r="F72" s="6">
        <v>14236745</v>
      </c>
      <c r="G72" s="3">
        <v>14236745</v>
      </c>
      <c r="H72" s="7">
        <v>726108379809</v>
      </c>
      <c r="I72" s="8" t="s">
        <v>1011</v>
      </c>
      <c r="J72" s="4">
        <v>1</v>
      </c>
      <c r="K72" s="9">
        <v>44.99</v>
      </c>
      <c r="L72" s="9">
        <v>44.99</v>
      </c>
      <c r="M72" s="4" t="s">
        <v>1012</v>
      </c>
      <c r="N72" s="4" t="s">
        <v>2497</v>
      </c>
      <c r="O72" s="4" t="s">
        <v>2653</v>
      </c>
      <c r="P72" s="4" t="s">
        <v>2550</v>
      </c>
      <c r="Q72" s="4" t="s">
        <v>2706</v>
      </c>
      <c r="R72" s="4"/>
      <c r="S72" s="4"/>
      <c r="T72" s="4" t="str">
        <f>HYPERLINK("http://slimages.macys.com/is/image/MCY/19294416 ")</f>
        <v xml:space="preserve">http://slimages.macys.com/is/image/MCY/19294416 </v>
      </c>
    </row>
    <row r="73" spans="1:20" ht="15" customHeight="1" x14ac:dyDescent="0.25">
      <c r="A73" s="4" t="s">
        <v>2489</v>
      </c>
      <c r="B73" s="2" t="s">
        <v>2487</v>
      </c>
      <c r="C73" s="2" t="s">
        <v>2488</v>
      </c>
      <c r="D73" s="5" t="s">
        <v>2490</v>
      </c>
      <c r="E73" s="4" t="s">
        <v>2491</v>
      </c>
      <c r="F73" s="6">
        <v>14236745</v>
      </c>
      <c r="G73" s="3">
        <v>14236745</v>
      </c>
      <c r="H73" s="7">
        <v>762120087261</v>
      </c>
      <c r="I73" s="8" t="s">
        <v>3151</v>
      </c>
      <c r="J73" s="4">
        <v>1</v>
      </c>
      <c r="K73" s="9">
        <v>11.99</v>
      </c>
      <c r="L73" s="9">
        <v>11.99</v>
      </c>
      <c r="M73" s="4" t="s">
        <v>3045</v>
      </c>
      <c r="N73" s="4" t="s">
        <v>2567</v>
      </c>
      <c r="O73" s="4" t="s">
        <v>2628</v>
      </c>
      <c r="P73" s="4" t="s">
        <v>2602</v>
      </c>
      <c r="Q73" s="4" t="s">
        <v>2528</v>
      </c>
      <c r="R73" s="4"/>
      <c r="S73" s="4"/>
      <c r="T73" s="4" t="str">
        <f>HYPERLINK("http://slimages.macys.com/is/image/MCY/20691889 ")</f>
        <v xml:space="preserve">http://slimages.macys.com/is/image/MCY/20691889 </v>
      </c>
    </row>
    <row r="74" spans="1:20" ht="15" customHeight="1" x14ac:dyDescent="0.25">
      <c r="A74" s="4" t="s">
        <v>2489</v>
      </c>
      <c r="B74" s="2" t="s">
        <v>2487</v>
      </c>
      <c r="C74" s="2" t="s">
        <v>2488</v>
      </c>
      <c r="D74" s="5" t="s">
        <v>2490</v>
      </c>
      <c r="E74" s="4" t="s">
        <v>2491</v>
      </c>
      <c r="F74" s="6">
        <v>14236745</v>
      </c>
      <c r="G74" s="3">
        <v>14236745</v>
      </c>
      <c r="H74" s="7">
        <v>733004722691</v>
      </c>
      <c r="I74" s="8" t="s">
        <v>1365</v>
      </c>
      <c r="J74" s="4">
        <v>1</v>
      </c>
      <c r="K74" s="9">
        <v>25.99</v>
      </c>
      <c r="L74" s="9">
        <v>25.99</v>
      </c>
      <c r="M74" s="4" t="s">
        <v>3193</v>
      </c>
      <c r="N74" s="4" t="s">
        <v>2530</v>
      </c>
      <c r="O74" s="4" t="s">
        <v>2559</v>
      </c>
      <c r="P74" s="4" t="s">
        <v>2503</v>
      </c>
      <c r="Q74" s="4" t="s">
        <v>2504</v>
      </c>
      <c r="R74" s="4"/>
      <c r="S74" s="4"/>
      <c r="T74" s="4" t="str">
        <f>HYPERLINK("http://slimages.macys.com/is/image/MCY/19977902 ")</f>
        <v xml:space="preserve">http://slimages.macys.com/is/image/MCY/19977902 </v>
      </c>
    </row>
    <row r="75" spans="1:20" ht="15" customHeight="1" x14ac:dyDescent="0.25">
      <c r="A75" s="4" t="s">
        <v>2489</v>
      </c>
      <c r="B75" s="2" t="s">
        <v>2487</v>
      </c>
      <c r="C75" s="2" t="s">
        <v>2488</v>
      </c>
      <c r="D75" s="5" t="s">
        <v>2490</v>
      </c>
      <c r="E75" s="4" t="s">
        <v>2491</v>
      </c>
      <c r="F75" s="6">
        <v>14236745</v>
      </c>
      <c r="G75" s="3">
        <v>14236745</v>
      </c>
      <c r="H75" s="7">
        <v>194257486912</v>
      </c>
      <c r="I75" s="8" t="s">
        <v>1013</v>
      </c>
      <c r="J75" s="4">
        <v>1</v>
      </c>
      <c r="K75" s="9">
        <v>20.99</v>
      </c>
      <c r="L75" s="9">
        <v>20.99</v>
      </c>
      <c r="M75" s="4" t="s">
        <v>1014</v>
      </c>
      <c r="N75" s="4" t="s">
        <v>2567</v>
      </c>
      <c r="O75" s="4" t="s">
        <v>2519</v>
      </c>
      <c r="P75" s="4" t="s">
        <v>2499</v>
      </c>
      <c r="Q75" s="4" t="s">
        <v>2500</v>
      </c>
      <c r="R75" s="4"/>
      <c r="S75" s="4"/>
      <c r="T75" s="4" t="str">
        <f>HYPERLINK("http://slimages.macys.com/is/image/MCY/20004995 ")</f>
        <v xml:space="preserve">http://slimages.macys.com/is/image/MCY/20004995 </v>
      </c>
    </row>
    <row r="76" spans="1:20" ht="15" customHeight="1" x14ac:dyDescent="0.25">
      <c r="A76" s="4" t="s">
        <v>2489</v>
      </c>
      <c r="B76" s="2" t="s">
        <v>2487</v>
      </c>
      <c r="C76" s="2" t="s">
        <v>2488</v>
      </c>
      <c r="D76" s="5" t="s">
        <v>2490</v>
      </c>
      <c r="E76" s="4" t="s">
        <v>2491</v>
      </c>
      <c r="F76" s="6">
        <v>14236745</v>
      </c>
      <c r="G76" s="3">
        <v>14236745</v>
      </c>
      <c r="H76" s="7">
        <v>733003642693</v>
      </c>
      <c r="I76" s="8" t="s">
        <v>1585</v>
      </c>
      <c r="J76" s="4">
        <v>1</v>
      </c>
      <c r="K76" s="9">
        <v>22.99</v>
      </c>
      <c r="L76" s="9">
        <v>22.99</v>
      </c>
      <c r="M76" s="4" t="s">
        <v>2894</v>
      </c>
      <c r="N76" s="4" t="s">
        <v>2561</v>
      </c>
      <c r="O76" s="4" t="s">
        <v>2671</v>
      </c>
      <c r="P76" s="4" t="s">
        <v>2515</v>
      </c>
      <c r="Q76" s="4" t="s">
        <v>2516</v>
      </c>
      <c r="R76" s="4"/>
      <c r="S76" s="4"/>
      <c r="T76" s="4" t="str">
        <f>HYPERLINK("http://slimages.macys.com/is/image/MCY/20007916 ")</f>
        <v xml:space="preserve">http://slimages.macys.com/is/image/MCY/20007916 </v>
      </c>
    </row>
    <row r="77" spans="1:20" ht="15" customHeight="1" x14ac:dyDescent="0.25">
      <c r="A77" s="4" t="s">
        <v>2489</v>
      </c>
      <c r="B77" s="2" t="s">
        <v>2487</v>
      </c>
      <c r="C77" s="2" t="s">
        <v>2488</v>
      </c>
      <c r="D77" s="5" t="s">
        <v>2490</v>
      </c>
      <c r="E77" s="4" t="s">
        <v>2491</v>
      </c>
      <c r="F77" s="6">
        <v>14236745</v>
      </c>
      <c r="G77" s="3">
        <v>14236745</v>
      </c>
      <c r="H77" s="7">
        <v>733004542923</v>
      </c>
      <c r="I77" s="8" t="s">
        <v>2072</v>
      </c>
      <c r="J77" s="4">
        <v>1</v>
      </c>
      <c r="K77" s="9">
        <v>40.99</v>
      </c>
      <c r="L77" s="9">
        <v>40.99</v>
      </c>
      <c r="M77" s="4" t="s">
        <v>2047</v>
      </c>
      <c r="N77" s="4" t="s">
        <v>2731</v>
      </c>
      <c r="O77" s="4" t="s">
        <v>2498</v>
      </c>
      <c r="P77" s="4" t="s">
        <v>2543</v>
      </c>
      <c r="Q77" s="4" t="s">
        <v>2528</v>
      </c>
      <c r="R77" s="4"/>
      <c r="S77" s="4"/>
      <c r="T77" s="4" t="str">
        <f>HYPERLINK("http://slimages.macys.com/is/image/MCY/20158262 ")</f>
        <v xml:space="preserve">http://slimages.macys.com/is/image/MCY/20158262 </v>
      </c>
    </row>
    <row r="78" spans="1:20" ht="15" customHeight="1" x14ac:dyDescent="0.25">
      <c r="A78" s="4" t="s">
        <v>2489</v>
      </c>
      <c r="B78" s="2" t="s">
        <v>2487</v>
      </c>
      <c r="C78" s="2" t="s">
        <v>2488</v>
      </c>
      <c r="D78" s="5" t="s">
        <v>2490</v>
      </c>
      <c r="E78" s="4" t="s">
        <v>2491</v>
      </c>
      <c r="F78" s="6">
        <v>14236745</v>
      </c>
      <c r="G78" s="3">
        <v>14236745</v>
      </c>
      <c r="H78" s="7">
        <v>194753979512</v>
      </c>
      <c r="I78" s="8" t="s">
        <v>1015</v>
      </c>
      <c r="J78" s="4">
        <v>1</v>
      </c>
      <c r="K78" s="9">
        <v>17.78</v>
      </c>
      <c r="L78" s="9">
        <v>17.78</v>
      </c>
      <c r="M78" s="4" t="s">
        <v>1016</v>
      </c>
      <c r="N78" s="4" t="s">
        <v>2497</v>
      </c>
      <c r="O78" s="4"/>
      <c r="P78" s="4" t="s">
        <v>2556</v>
      </c>
      <c r="Q78" s="4" t="s">
        <v>2946</v>
      </c>
      <c r="R78" s="4"/>
      <c r="S78" s="4"/>
      <c r="T78" s="4" t="str">
        <f>HYPERLINK("http://slimages.macys.com/is/image/MCY/20719913 ")</f>
        <v xml:space="preserve">http://slimages.macys.com/is/image/MCY/20719913 </v>
      </c>
    </row>
    <row r="79" spans="1:20" ht="15" customHeight="1" x14ac:dyDescent="0.25">
      <c r="A79" s="4" t="s">
        <v>2489</v>
      </c>
      <c r="B79" s="2" t="s">
        <v>2487</v>
      </c>
      <c r="C79" s="2" t="s">
        <v>2488</v>
      </c>
      <c r="D79" s="5" t="s">
        <v>2490</v>
      </c>
      <c r="E79" s="4" t="s">
        <v>2491</v>
      </c>
      <c r="F79" s="6">
        <v>14236745</v>
      </c>
      <c r="G79" s="3">
        <v>14236745</v>
      </c>
      <c r="H79" s="7">
        <v>733003959067</v>
      </c>
      <c r="I79" s="8" t="s">
        <v>3250</v>
      </c>
      <c r="J79" s="4">
        <v>1</v>
      </c>
      <c r="K79" s="9">
        <v>17.989999999999998</v>
      </c>
      <c r="L79" s="9">
        <v>17.989999999999998</v>
      </c>
      <c r="M79" s="4" t="s">
        <v>2701</v>
      </c>
      <c r="N79" s="4" t="s">
        <v>2497</v>
      </c>
      <c r="O79" s="4" t="s">
        <v>2587</v>
      </c>
      <c r="P79" s="4" t="s">
        <v>2520</v>
      </c>
      <c r="Q79" s="4" t="s">
        <v>2528</v>
      </c>
      <c r="R79" s="4"/>
      <c r="S79" s="4"/>
      <c r="T79" s="4" t="str">
        <f>HYPERLINK("http://slimages.macys.com/is/image/MCY/19568569 ")</f>
        <v xml:space="preserve">http://slimages.macys.com/is/image/MCY/19568569 </v>
      </c>
    </row>
    <row r="80" spans="1:20" ht="15" customHeight="1" x14ac:dyDescent="0.25">
      <c r="A80" s="4" t="s">
        <v>2489</v>
      </c>
      <c r="B80" s="2" t="s">
        <v>2487</v>
      </c>
      <c r="C80" s="2" t="s">
        <v>2488</v>
      </c>
      <c r="D80" s="5" t="s">
        <v>2490</v>
      </c>
      <c r="E80" s="4" t="s">
        <v>2491</v>
      </c>
      <c r="F80" s="6">
        <v>14236745</v>
      </c>
      <c r="G80" s="3">
        <v>14236745</v>
      </c>
      <c r="H80" s="7">
        <v>733003959203</v>
      </c>
      <c r="I80" s="8" t="s">
        <v>1017</v>
      </c>
      <c r="J80" s="4">
        <v>1</v>
      </c>
      <c r="K80" s="9">
        <v>17.989999999999998</v>
      </c>
      <c r="L80" s="9">
        <v>17.989999999999998</v>
      </c>
      <c r="M80" s="4" t="s">
        <v>2701</v>
      </c>
      <c r="N80" s="4" t="s">
        <v>2508</v>
      </c>
      <c r="O80" s="4" t="s">
        <v>2587</v>
      </c>
      <c r="P80" s="4" t="s">
        <v>2520</v>
      </c>
      <c r="Q80" s="4" t="s">
        <v>2528</v>
      </c>
      <c r="R80" s="4"/>
      <c r="S80" s="4"/>
      <c r="T80" s="4" t="str">
        <f>HYPERLINK("http://slimages.macys.com/is/image/MCY/19568569 ")</f>
        <v xml:space="preserve">http://slimages.macys.com/is/image/MCY/19568569 </v>
      </c>
    </row>
    <row r="81" spans="1:20" ht="15" customHeight="1" x14ac:dyDescent="0.25">
      <c r="A81" s="4" t="s">
        <v>2489</v>
      </c>
      <c r="B81" s="2" t="s">
        <v>2487</v>
      </c>
      <c r="C81" s="2" t="s">
        <v>2488</v>
      </c>
      <c r="D81" s="5" t="s">
        <v>2490</v>
      </c>
      <c r="E81" s="4" t="s">
        <v>2491</v>
      </c>
      <c r="F81" s="6">
        <v>14236745</v>
      </c>
      <c r="G81" s="3">
        <v>14236745</v>
      </c>
      <c r="H81" s="7">
        <v>733003805036</v>
      </c>
      <c r="I81" s="8" t="s">
        <v>3263</v>
      </c>
      <c r="J81" s="4">
        <v>1</v>
      </c>
      <c r="K81" s="9">
        <v>5.99</v>
      </c>
      <c r="L81" s="9">
        <v>5.99</v>
      </c>
      <c r="M81" s="4" t="s">
        <v>3232</v>
      </c>
      <c r="N81" s="4" t="s">
        <v>2682</v>
      </c>
      <c r="O81" s="4" t="s">
        <v>2629</v>
      </c>
      <c r="P81" s="4" t="s">
        <v>2520</v>
      </c>
      <c r="Q81" s="4" t="s">
        <v>2528</v>
      </c>
      <c r="R81" s="4"/>
      <c r="S81" s="4"/>
      <c r="T81" s="4" t="str">
        <f>HYPERLINK("http://slimages.macys.com/is/image/MCY/19239511 ")</f>
        <v xml:space="preserve">http://slimages.macys.com/is/image/MCY/19239511 </v>
      </c>
    </row>
    <row r="82" spans="1:20" ht="15" customHeight="1" x14ac:dyDescent="0.25">
      <c r="A82" s="4" t="s">
        <v>2489</v>
      </c>
      <c r="B82" s="2" t="s">
        <v>2487</v>
      </c>
      <c r="C82" s="2" t="s">
        <v>2488</v>
      </c>
      <c r="D82" s="5" t="s">
        <v>2490</v>
      </c>
      <c r="E82" s="4" t="s">
        <v>2491</v>
      </c>
      <c r="F82" s="6">
        <v>14236745</v>
      </c>
      <c r="G82" s="3">
        <v>14236745</v>
      </c>
      <c r="H82" s="7">
        <v>762120078085</v>
      </c>
      <c r="I82" s="8" t="s">
        <v>1018</v>
      </c>
      <c r="J82" s="4">
        <v>1</v>
      </c>
      <c r="K82" s="9">
        <v>16.989999999999998</v>
      </c>
      <c r="L82" s="9">
        <v>16.989999999999998</v>
      </c>
      <c r="M82" s="4" t="s">
        <v>1019</v>
      </c>
      <c r="N82" s="4" t="s">
        <v>2508</v>
      </c>
      <c r="O82" s="4">
        <v>5</v>
      </c>
      <c r="P82" s="4" t="s">
        <v>2520</v>
      </c>
      <c r="Q82" s="4" t="s">
        <v>2528</v>
      </c>
      <c r="R82" s="4"/>
      <c r="S82" s="4"/>
      <c r="T82" s="4" t="str">
        <f>HYPERLINK("http://slimages.macys.com/is/image/MCY/1085516 ")</f>
        <v xml:space="preserve">http://slimages.macys.com/is/image/MCY/1085516 </v>
      </c>
    </row>
    <row r="83" spans="1:20" ht="15" customHeight="1" x14ac:dyDescent="0.25">
      <c r="A83" s="4" t="s">
        <v>2489</v>
      </c>
      <c r="B83" s="2" t="s">
        <v>2487</v>
      </c>
      <c r="C83" s="2" t="s">
        <v>2488</v>
      </c>
      <c r="D83" s="5" t="s">
        <v>2490</v>
      </c>
      <c r="E83" s="4" t="s">
        <v>2491</v>
      </c>
      <c r="F83" s="6">
        <v>14236745</v>
      </c>
      <c r="G83" s="3">
        <v>14236745</v>
      </c>
      <c r="H83" s="7">
        <v>762120085441</v>
      </c>
      <c r="I83" s="8" t="s">
        <v>3215</v>
      </c>
      <c r="J83" s="4">
        <v>2</v>
      </c>
      <c r="K83" s="9">
        <v>7.99</v>
      </c>
      <c r="L83" s="9">
        <v>15.98</v>
      </c>
      <c r="M83" s="4" t="s">
        <v>2929</v>
      </c>
      <c r="N83" s="4"/>
      <c r="O83" s="4">
        <v>6</v>
      </c>
      <c r="P83" s="4" t="s">
        <v>2602</v>
      </c>
      <c r="Q83" s="4" t="s">
        <v>2528</v>
      </c>
      <c r="R83" s="4"/>
      <c r="S83" s="4"/>
      <c r="T83" s="4" t="str">
        <f>HYPERLINK("http://slimages.macys.com/is/image/MCY/20691811 ")</f>
        <v xml:space="preserve">http://slimages.macys.com/is/image/MCY/20691811 </v>
      </c>
    </row>
    <row r="84" spans="1:20" ht="15" customHeight="1" x14ac:dyDescent="0.25">
      <c r="A84" s="4" t="s">
        <v>2489</v>
      </c>
      <c r="B84" s="2" t="s">
        <v>2487</v>
      </c>
      <c r="C84" s="2" t="s">
        <v>2488</v>
      </c>
      <c r="D84" s="5" t="s">
        <v>2490</v>
      </c>
      <c r="E84" s="4" t="s">
        <v>2491</v>
      </c>
      <c r="F84" s="6">
        <v>14236745</v>
      </c>
      <c r="G84" s="3">
        <v>14236745</v>
      </c>
      <c r="H84" s="7">
        <v>762120085458</v>
      </c>
      <c r="I84" s="8" t="s">
        <v>2928</v>
      </c>
      <c r="J84" s="4">
        <v>1</v>
      </c>
      <c r="K84" s="9">
        <v>7.99</v>
      </c>
      <c r="L84" s="9">
        <v>7.99</v>
      </c>
      <c r="M84" s="4" t="s">
        <v>2929</v>
      </c>
      <c r="N84" s="4"/>
      <c r="O84" s="4" t="s">
        <v>2650</v>
      </c>
      <c r="P84" s="4" t="s">
        <v>2602</v>
      </c>
      <c r="Q84" s="4" t="s">
        <v>2528</v>
      </c>
      <c r="R84" s="4"/>
      <c r="S84" s="4"/>
      <c r="T84" s="4" t="str">
        <f>HYPERLINK("http://slimages.macys.com/is/image/MCY/20691813 ")</f>
        <v xml:space="preserve">http://slimages.macys.com/is/image/MCY/20691813 </v>
      </c>
    </row>
    <row r="85" spans="1:20" ht="15" customHeight="1" x14ac:dyDescent="0.25">
      <c r="A85" s="4" t="s">
        <v>2489</v>
      </c>
      <c r="B85" s="2" t="s">
        <v>2487</v>
      </c>
      <c r="C85" s="2" t="s">
        <v>2488</v>
      </c>
      <c r="D85" s="5" t="s">
        <v>2490</v>
      </c>
      <c r="E85" s="4" t="s">
        <v>2491</v>
      </c>
      <c r="F85" s="6">
        <v>14236745</v>
      </c>
      <c r="G85" s="3">
        <v>14236745</v>
      </c>
      <c r="H85" s="7">
        <v>733004958489</v>
      </c>
      <c r="I85" s="8" t="s">
        <v>1020</v>
      </c>
      <c r="J85" s="4">
        <v>1</v>
      </c>
      <c r="K85" s="9">
        <v>19.989999999999998</v>
      </c>
      <c r="L85" s="9">
        <v>19.989999999999998</v>
      </c>
      <c r="M85" s="4" t="s">
        <v>1798</v>
      </c>
      <c r="N85" s="4" t="s">
        <v>2505</v>
      </c>
      <c r="O85" s="4" t="s">
        <v>2493</v>
      </c>
      <c r="P85" s="4" t="s">
        <v>2503</v>
      </c>
      <c r="Q85" s="4" t="s">
        <v>2504</v>
      </c>
      <c r="R85" s="4"/>
      <c r="S85" s="4"/>
      <c r="T85" s="4" t="str">
        <f>HYPERLINK("http://slimages.macys.com/is/image/MCY/20386058 ")</f>
        <v xml:space="preserve">http://slimages.macys.com/is/image/MCY/20386058 </v>
      </c>
    </row>
    <row r="86" spans="1:20" ht="15" customHeight="1" x14ac:dyDescent="0.25">
      <c r="A86" s="4" t="s">
        <v>2489</v>
      </c>
      <c r="B86" s="2" t="s">
        <v>2487</v>
      </c>
      <c r="C86" s="2" t="s">
        <v>2488</v>
      </c>
      <c r="D86" s="5" t="s">
        <v>2490</v>
      </c>
      <c r="E86" s="4" t="s">
        <v>2491</v>
      </c>
      <c r="F86" s="6">
        <v>14236745</v>
      </c>
      <c r="G86" s="3">
        <v>14236745</v>
      </c>
      <c r="H86" s="7">
        <v>733003959234</v>
      </c>
      <c r="I86" s="8" t="s">
        <v>1021</v>
      </c>
      <c r="J86" s="4">
        <v>1</v>
      </c>
      <c r="K86" s="9">
        <v>17.989999999999998</v>
      </c>
      <c r="L86" s="9">
        <v>17.989999999999998</v>
      </c>
      <c r="M86" s="4" t="s">
        <v>1022</v>
      </c>
      <c r="N86" s="4"/>
      <c r="O86" s="4">
        <v>5</v>
      </c>
      <c r="P86" s="4" t="s">
        <v>2520</v>
      </c>
      <c r="Q86" s="4" t="s">
        <v>2528</v>
      </c>
      <c r="R86" s="4"/>
      <c r="S86" s="4"/>
      <c r="T86" s="4" t="str">
        <f>HYPERLINK("http://slimages.macys.com/is/image/MCY/19568259 ")</f>
        <v xml:space="preserve">http://slimages.macys.com/is/image/MCY/19568259 </v>
      </c>
    </row>
    <row r="87" spans="1:20" ht="15" customHeight="1" x14ac:dyDescent="0.25">
      <c r="A87" s="4" t="s">
        <v>2489</v>
      </c>
      <c r="B87" s="2" t="s">
        <v>2487</v>
      </c>
      <c r="C87" s="2" t="s">
        <v>2488</v>
      </c>
      <c r="D87" s="5" t="s">
        <v>2490</v>
      </c>
      <c r="E87" s="4" t="s">
        <v>2491</v>
      </c>
      <c r="F87" s="6">
        <v>14236745</v>
      </c>
      <c r="G87" s="3">
        <v>14236745</v>
      </c>
      <c r="H87" s="7">
        <v>733003907723</v>
      </c>
      <c r="I87" s="8" t="s">
        <v>1023</v>
      </c>
      <c r="J87" s="4">
        <v>1</v>
      </c>
      <c r="K87" s="9">
        <v>28.99</v>
      </c>
      <c r="L87" s="9">
        <v>28.99</v>
      </c>
      <c r="M87" s="4" t="s">
        <v>2373</v>
      </c>
      <c r="N87" s="4" t="s">
        <v>2611</v>
      </c>
      <c r="O87" s="4" t="s">
        <v>2601</v>
      </c>
      <c r="P87" s="4" t="s">
        <v>2503</v>
      </c>
      <c r="Q87" s="4" t="s">
        <v>2504</v>
      </c>
      <c r="R87" s="4"/>
      <c r="S87" s="4"/>
      <c r="T87" s="4" t="str">
        <f>HYPERLINK("http://slimages.macys.com/is/image/MCY/19997366 ")</f>
        <v xml:space="preserve">http://slimages.macys.com/is/image/MCY/19997366 </v>
      </c>
    </row>
    <row r="88" spans="1:20" ht="15" customHeight="1" x14ac:dyDescent="0.25">
      <c r="A88" s="4" t="s">
        <v>2489</v>
      </c>
      <c r="B88" s="2" t="s">
        <v>2487</v>
      </c>
      <c r="C88" s="2" t="s">
        <v>2488</v>
      </c>
      <c r="D88" s="5" t="s">
        <v>2490</v>
      </c>
      <c r="E88" s="4" t="s">
        <v>2491</v>
      </c>
      <c r="F88" s="6">
        <v>14236745</v>
      </c>
      <c r="G88" s="3">
        <v>14236745</v>
      </c>
      <c r="H88" s="7">
        <v>733003909390</v>
      </c>
      <c r="I88" s="8" t="s">
        <v>1858</v>
      </c>
      <c r="J88" s="4">
        <v>1</v>
      </c>
      <c r="K88" s="9">
        <v>39.99</v>
      </c>
      <c r="L88" s="9">
        <v>39.99</v>
      </c>
      <c r="M88" s="4" t="s">
        <v>2848</v>
      </c>
      <c r="N88" s="4" t="s">
        <v>2600</v>
      </c>
      <c r="O88" s="4" t="s">
        <v>2566</v>
      </c>
      <c r="P88" s="4" t="s">
        <v>2503</v>
      </c>
      <c r="Q88" s="4" t="s">
        <v>2504</v>
      </c>
      <c r="R88" s="4"/>
      <c r="S88" s="4"/>
      <c r="T88" s="4" t="str">
        <f>HYPERLINK("http://slimages.macys.com/is/image/MCY/19521517 ")</f>
        <v xml:space="preserve">http://slimages.macys.com/is/image/MCY/19521517 </v>
      </c>
    </row>
    <row r="89" spans="1:20" ht="15" customHeight="1" x14ac:dyDescent="0.25">
      <c r="A89" s="4" t="s">
        <v>2489</v>
      </c>
      <c r="B89" s="2" t="s">
        <v>2487</v>
      </c>
      <c r="C89" s="2" t="s">
        <v>2488</v>
      </c>
      <c r="D89" s="5" t="s">
        <v>2490</v>
      </c>
      <c r="E89" s="4" t="s">
        <v>2491</v>
      </c>
      <c r="F89" s="6">
        <v>14236745</v>
      </c>
      <c r="G89" s="3">
        <v>14236745</v>
      </c>
      <c r="H89" s="7">
        <v>733004294648</v>
      </c>
      <c r="I89" s="8" t="s">
        <v>2077</v>
      </c>
      <c r="J89" s="4">
        <v>1</v>
      </c>
      <c r="K89" s="9">
        <v>19.989999999999998</v>
      </c>
      <c r="L89" s="9">
        <v>19.989999999999998</v>
      </c>
      <c r="M89" s="4" t="s">
        <v>3008</v>
      </c>
      <c r="N89" s="4" t="s">
        <v>2531</v>
      </c>
      <c r="O89" s="4" t="s">
        <v>2559</v>
      </c>
      <c r="P89" s="4" t="s">
        <v>2503</v>
      </c>
      <c r="Q89" s="4" t="s">
        <v>2504</v>
      </c>
      <c r="R89" s="4"/>
      <c r="S89" s="4"/>
      <c r="T89" s="4" t="str">
        <f>HYPERLINK("http://slimages.macys.com/is/image/MCY/19754689 ")</f>
        <v xml:space="preserve">http://slimages.macys.com/is/image/MCY/19754689 </v>
      </c>
    </row>
    <row r="90" spans="1:20" ht="15" customHeight="1" x14ac:dyDescent="0.25">
      <c r="A90" s="4" t="s">
        <v>2489</v>
      </c>
      <c r="B90" s="2" t="s">
        <v>2487</v>
      </c>
      <c r="C90" s="2" t="s">
        <v>2488</v>
      </c>
      <c r="D90" s="5" t="s">
        <v>2490</v>
      </c>
      <c r="E90" s="4" t="s">
        <v>2491</v>
      </c>
      <c r="F90" s="6">
        <v>14236745</v>
      </c>
      <c r="G90" s="3">
        <v>14236745</v>
      </c>
      <c r="H90" s="7">
        <v>726112348716</v>
      </c>
      <c r="I90" s="8" t="s">
        <v>3416</v>
      </c>
      <c r="J90" s="4">
        <v>1</v>
      </c>
      <c r="K90" s="9">
        <v>34.99</v>
      </c>
      <c r="L90" s="9">
        <v>34.99</v>
      </c>
      <c r="M90" s="4" t="s">
        <v>3417</v>
      </c>
      <c r="N90" s="4" t="s">
        <v>2571</v>
      </c>
      <c r="O90" s="4" t="s">
        <v>2746</v>
      </c>
      <c r="P90" s="4" t="s">
        <v>2740</v>
      </c>
      <c r="Q90" s="4" t="s">
        <v>2953</v>
      </c>
      <c r="R90" s="4"/>
      <c r="S90" s="4"/>
      <c r="T90" s="4" t="str">
        <f>HYPERLINK("http://slimages.macys.com/is/image/MCY/19598268 ")</f>
        <v xml:space="preserve">http://slimages.macys.com/is/image/MCY/19598268 </v>
      </c>
    </row>
    <row r="91" spans="1:20" ht="15" customHeight="1" x14ac:dyDescent="0.25">
      <c r="A91" s="4" t="s">
        <v>2489</v>
      </c>
      <c r="B91" s="2" t="s">
        <v>2487</v>
      </c>
      <c r="C91" s="2" t="s">
        <v>2488</v>
      </c>
      <c r="D91" s="5" t="s">
        <v>2490</v>
      </c>
      <c r="E91" s="4" t="s">
        <v>2491</v>
      </c>
      <c r="F91" s="6">
        <v>14236745</v>
      </c>
      <c r="G91" s="3">
        <v>14236745</v>
      </c>
      <c r="H91" s="7">
        <v>733004297724</v>
      </c>
      <c r="I91" s="8" t="s">
        <v>1566</v>
      </c>
      <c r="J91" s="4">
        <v>1</v>
      </c>
      <c r="K91" s="9">
        <v>27.99</v>
      </c>
      <c r="L91" s="9">
        <v>27.99</v>
      </c>
      <c r="M91" s="4" t="s">
        <v>2949</v>
      </c>
      <c r="N91" s="4" t="s">
        <v>2758</v>
      </c>
      <c r="O91" s="4" t="s">
        <v>2498</v>
      </c>
      <c r="P91" s="4" t="s">
        <v>2515</v>
      </c>
      <c r="Q91" s="4" t="s">
        <v>2672</v>
      </c>
      <c r="R91" s="4"/>
      <c r="S91" s="4"/>
      <c r="T91" s="4" t="str">
        <f>HYPERLINK("http://slimages.macys.com/is/image/MCY/20143278 ")</f>
        <v xml:space="preserve">http://slimages.macys.com/is/image/MCY/20143278 </v>
      </c>
    </row>
    <row r="92" spans="1:20" ht="15" customHeight="1" x14ac:dyDescent="0.25">
      <c r="A92" s="4" t="s">
        <v>2489</v>
      </c>
      <c r="B92" s="2" t="s">
        <v>2487</v>
      </c>
      <c r="C92" s="2" t="s">
        <v>2488</v>
      </c>
      <c r="D92" s="5" t="s">
        <v>2490</v>
      </c>
      <c r="E92" s="4" t="s">
        <v>2491</v>
      </c>
      <c r="F92" s="6">
        <v>14236745</v>
      </c>
      <c r="G92" s="3">
        <v>14236745</v>
      </c>
      <c r="H92" s="7">
        <v>726108379755</v>
      </c>
      <c r="I92" s="8" t="s">
        <v>1024</v>
      </c>
      <c r="J92" s="4">
        <v>1</v>
      </c>
      <c r="K92" s="9">
        <v>44.99</v>
      </c>
      <c r="L92" s="9">
        <v>44.99</v>
      </c>
      <c r="M92" s="4" t="s">
        <v>1012</v>
      </c>
      <c r="N92" s="4" t="s">
        <v>2497</v>
      </c>
      <c r="O92" s="4" t="s">
        <v>2705</v>
      </c>
      <c r="P92" s="4" t="s">
        <v>2550</v>
      </c>
      <c r="Q92" s="4" t="s">
        <v>2706</v>
      </c>
      <c r="R92" s="4"/>
      <c r="S92" s="4"/>
      <c r="T92" s="4" t="str">
        <f>HYPERLINK("http://slimages.macys.com/is/image/MCY/19294416 ")</f>
        <v xml:space="preserve">http://slimages.macys.com/is/image/MCY/19294416 </v>
      </c>
    </row>
    <row r="93" spans="1:20" ht="15" customHeight="1" x14ac:dyDescent="0.25">
      <c r="A93" s="4" t="s">
        <v>2489</v>
      </c>
      <c r="B93" s="2" t="s">
        <v>2487</v>
      </c>
      <c r="C93" s="2" t="s">
        <v>2488</v>
      </c>
      <c r="D93" s="5" t="s">
        <v>2490</v>
      </c>
      <c r="E93" s="4" t="s">
        <v>2491</v>
      </c>
      <c r="F93" s="6">
        <v>14236745</v>
      </c>
      <c r="G93" s="3">
        <v>14236745</v>
      </c>
      <c r="H93" s="7">
        <v>726108384834</v>
      </c>
      <c r="I93" s="8" t="s">
        <v>3243</v>
      </c>
      <c r="J93" s="4">
        <v>2</v>
      </c>
      <c r="K93" s="9">
        <v>75</v>
      </c>
      <c r="L93" s="9">
        <v>150</v>
      </c>
      <c r="M93" s="4">
        <v>726108384834</v>
      </c>
      <c r="N93" s="4" t="s">
        <v>2769</v>
      </c>
      <c r="O93" s="4" t="s">
        <v>2669</v>
      </c>
      <c r="P93" s="4" t="s">
        <v>2550</v>
      </c>
      <c r="Q93" s="4" t="s">
        <v>2706</v>
      </c>
      <c r="R93" s="4"/>
      <c r="S93" s="4"/>
      <c r="T93" s="4"/>
    </row>
    <row r="94" spans="1:20" ht="15" customHeight="1" x14ac:dyDescent="0.25">
      <c r="A94" s="4" t="s">
        <v>2489</v>
      </c>
      <c r="B94" s="2" t="s">
        <v>2487</v>
      </c>
      <c r="C94" s="2" t="s">
        <v>2488</v>
      </c>
      <c r="D94" s="5" t="s">
        <v>2490</v>
      </c>
      <c r="E94" s="4" t="s">
        <v>2491</v>
      </c>
      <c r="F94" s="6">
        <v>14236745</v>
      </c>
      <c r="G94" s="3">
        <v>14236745</v>
      </c>
      <c r="H94" s="7">
        <v>726108384773</v>
      </c>
      <c r="I94" s="8" t="s">
        <v>3133</v>
      </c>
      <c r="J94" s="4">
        <v>1</v>
      </c>
      <c r="K94" s="9">
        <v>85</v>
      </c>
      <c r="L94" s="9">
        <v>85</v>
      </c>
      <c r="M94" s="4">
        <v>726108384773</v>
      </c>
      <c r="N94" s="4"/>
      <c r="O94" s="4" t="s">
        <v>2669</v>
      </c>
      <c r="P94" s="4" t="s">
        <v>2550</v>
      </c>
      <c r="Q94" s="4" t="s">
        <v>2706</v>
      </c>
      <c r="R94" s="4"/>
      <c r="S94" s="4"/>
      <c r="T94" s="4"/>
    </row>
    <row r="95" spans="1:20" ht="15" customHeight="1" x14ac:dyDescent="0.25">
      <c r="A95" s="4" t="s">
        <v>2489</v>
      </c>
      <c r="B95" s="2" t="s">
        <v>2487</v>
      </c>
      <c r="C95" s="2" t="s">
        <v>2488</v>
      </c>
      <c r="D95" s="5" t="s">
        <v>2490</v>
      </c>
      <c r="E95" s="4" t="s">
        <v>2491</v>
      </c>
      <c r="F95" s="6">
        <v>14236745</v>
      </c>
      <c r="G95" s="3">
        <v>14236745</v>
      </c>
      <c r="H95" s="7">
        <v>196027059784</v>
      </c>
      <c r="I95" s="8" t="s">
        <v>1025</v>
      </c>
      <c r="J95" s="4">
        <v>1</v>
      </c>
      <c r="K95" s="9">
        <v>30.99</v>
      </c>
      <c r="L95" s="9">
        <v>30.99</v>
      </c>
      <c r="M95" s="4" t="s">
        <v>3414</v>
      </c>
      <c r="N95" s="4" t="s">
        <v>2544</v>
      </c>
      <c r="O95" s="4">
        <v>8</v>
      </c>
      <c r="P95" s="4" t="s">
        <v>2569</v>
      </c>
      <c r="Q95" s="4" t="s">
        <v>2570</v>
      </c>
      <c r="R95" s="4"/>
      <c r="S95" s="4"/>
      <c r="T95" s="4" t="str">
        <f>HYPERLINK("http://slimages.macys.com/is/image/MCY/20662535 ")</f>
        <v xml:space="preserve">http://slimages.macys.com/is/image/MCY/20662535 </v>
      </c>
    </row>
    <row r="96" spans="1:20" ht="15" customHeight="1" x14ac:dyDescent="0.25">
      <c r="A96" s="4" t="s">
        <v>2489</v>
      </c>
      <c r="B96" s="2" t="s">
        <v>2487</v>
      </c>
      <c r="C96" s="2" t="s">
        <v>2488</v>
      </c>
      <c r="D96" s="5" t="s">
        <v>2490</v>
      </c>
      <c r="E96" s="4" t="s">
        <v>2491</v>
      </c>
      <c r="F96" s="6">
        <v>14236745</v>
      </c>
      <c r="G96" s="3">
        <v>14236745</v>
      </c>
      <c r="H96" s="7">
        <v>733003642730</v>
      </c>
      <c r="I96" s="8" t="s">
        <v>2512</v>
      </c>
      <c r="J96" s="4">
        <v>3</v>
      </c>
      <c r="K96" s="9">
        <v>22.99</v>
      </c>
      <c r="L96" s="9">
        <v>68.97</v>
      </c>
      <c r="M96" s="4" t="s">
        <v>2513</v>
      </c>
      <c r="N96" s="4" t="s">
        <v>2514</v>
      </c>
      <c r="O96" s="4" t="s">
        <v>2498</v>
      </c>
      <c r="P96" s="4" t="s">
        <v>2515</v>
      </c>
      <c r="Q96" s="4" t="s">
        <v>2516</v>
      </c>
      <c r="R96" s="4"/>
      <c r="S96" s="4"/>
      <c r="T96" s="4" t="str">
        <f>HYPERLINK("http://slimages.macys.com/is/image/MCY/20008078 ")</f>
        <v xml:space="preserve">http://slimages.macys.com/is/image/MCY/20008078 </v>
      </c>
    </row>
    <row r="97" spans="1:20" ht="15" customHeight="1" x14ac:dyDescent="0.25">
      <c r="A97" s="4" t="s">
        <v>2489</v>
      </c>
      <c r="B97" s="2" t="s">
        <v>2487</v>
      </c>
      <c r="C97" s="2" t="s">
        <v>2488</v>
      </c>
      <c r="D97" s="5" t="s">
        <v>2490</v>
      </c>
      <c r="E97" s="4" t="s">
        <v>2491</v>
      </c>
      <c r="F97" s="6">
        <v>14236745</v>
      </c>
      <c r="G97" s="3">
        <v>14236745</v>
      </c>
      <c r="H97" s="7">
        <v>762120087285</v>
      </c>
      <c r="I97" s="8" t="s">
        <v>749</v>
      </c>
      <c r="J97" s="4">
        <v>1</v>
      </c>
      <c r="K97" s="9">
        <v>7.99</v>
      </c>
      <c r="L97" s="9">
        <v>7.99</v>
      </c>
      <c r="M97" s="4" t="s">
        <v>1786</v>
      </c>
      <c r="N97" s="4" t="s">
        <v>2501</v>
      </c>
      <c r="O97" s="4">
        <v>5</v>
      </c>
      <c r="P97" s="4" t="s">
        <v>2602</v>
      </c>
      <c r="Q97" s="4" t="s">
        <v>2528</v>
      </c>
      <c r="R97" s="4"/>
      <c r="S97" s="4"/>
      <c r="T97" s="4" t="str">
        <f>HYPERLINK("http://slimages.macys.com/is/image/MCY/1080385 ")</f>
        <v xml:space="preserve">http://slimages.macys.com/is/image/MCY/1080385 </v>
      </c>
    </row>
    <row r="98" spans="1:20" ht="15" customHeight="1" x14ac:dyDescent="0.25">
      <c r="A98" s="4" t="s">
        <v>2489</v>
      </c>
      <c r="B98" s="2" t="s">
        <v>2487</v>
      </c>
      <c r="C98" s="2" t="s">
        <v>2488</v>
      </c>
      <c r="D98" s="5" t="s">
        <v>2490</v>
      </c>
      <c r="E98" s="4" t="s">
        <v>2491</v>
      </c>
      <c r="F98" s="6">
        <v>14236745</v>
      </c>
      <c r="G98" s="3">
        <v>14236745</v>
      </c>
      <c r="H98" s="7">
        <v>762120085083</v>
      </c>
      <c r="I98" s="8" t="s">
        <v>1785</v>
      </c>
      <c r="J98" s="4">
        <v>1</v>
      </c>
      <c r="K98" s="9">
        <v>7.99</v>
      </c>
      <c r="L98" s="9">
        <v>7.99</v>
      </c>
      <c r="M98" s="4" t="s">
        <v>1586</v>
      </c>
      <c r="N98" s="4" t="s">
        <v>2501</v>
      </c>
      <c r="O98" s="4" t="s">
        <v>2628</v>
      </c>
      <c r="P98" s="4" t="s">
        <v>2602</v>
      </c>
      <c r="Q98" s="4" t="s">
        <v>2528</v>
      </c>
      <c r="R98" s="4"/>
      <c r="S98" s="4"/>
      <c r="T98" s="4" t="str">
        <f>HYPERLINK("http://slimages.macys.com/is/image/MCY/20691800 ")</f>
        <v xml:space="preserve">http://slimages.macys.com/is/image/MCY/20691800 </v>
      </c>
    </row>
    <row r="99" spans="1:20" ht="15" customHeight="1" x14ac:dyDescent="0.25">
      <c r="A99" s="4" t="s">
        <v>2489</v>
      </c>
      <c r="B99" s="2" t="s">
        <v>2487</v>
      </c>
      <c r="C99" s="2" t="s">
        <v>2488</v>
      </c>
      <c r="D99" s="5" t="s">
        <v>2490</v>
      </c>
      <c r="E99" s="4" t="s">
        <v>2491</v>
      </c>
      <c r="F99" s="6">
        <v>14236745</v>
      </c>
      <c r="G99" s="3">
        <v>14236745</v>
      </c>
      <c r="H99" s="7">
        <v>762120216241</v>
      </c>
      <c r="I99" s="8" t="s">
        <v>1993</v>
      </c>
      <c r="J99" s="4">
        <v>1</v>
      </c>
      <c r="K99" s="9">
        <v>21.99</v>
      </c>
      <c r="L99" s="9">
        <v>21.99</v>
      </c>
      <c r="M99" s="4" t="s">
        <v>2994</v>
      </c>
      <c r="N99" s="4" t="s">
        <v>2565</v>
      </c>
      <c r="O99" s="4" t="s">
        <v>2519</v>
      </c>
      <c r="P99" s="4" t="s">
        <v>2515</v>
      </c>
      <c r="Q99" s="4" t="s">
        <v>2672</v>
      </c>
      <c r="R99" s="4"/>
      <c r="S99" s="4"/>
      <c r="T99" s="4" t="str">
        <f>HYPERLINK("http://slimages.macys.com/is/image/MCY/20411699 ")</f>
        <v xml:space="preserve">http://slimages.macys.com/is/image/MCY/20411699 </v>
      </c>
    </row>
    <row r="100" spans="1:20" ht="15" customHeight="1" x14ac:dyDescent="0.25">
      <c r="A100" s="4" t="s">
        <v>2489</v>
      </c>
      <c r="B100" s="2" t="s">
        <v>2487</v>
      </c>
      <c r="C100" s="2" t="s">
        <v>2488</v>
      </c>
      <c r="D100" s="5" t="s">
        <v>2490</v>
      </c>
      <c r="E100" s="4" t="s">
        <v>2491</v>
      </c>
      <c r="F100" s="6">
        <v>14236745</v>
      </c>
      <c r="G100" s="3">
        <v>14236745</v>
      </c>
      <c r="H100" s="7">
        <v>733004752063</v>
      </c>
      <c r="I100" s="8" t="s">
        <v>1209</v>
      </c>
      <c r="J100" s="4">
        <v>1</v>
      </c>
      <c r="K100" s="9">
        <v>13.99</v>
      </c>
      <c r="L100" s="9">
        <v>13.99</v>
      </c>
      <c r="M100" s="4" t="s">
        <v>1796</v>
      </c>
      <c r="N100" s="4" t="s">
        <v>2548</v>
      </c>
      <c r="O100" s="4" t="s">
        <v>2555</v>
      </c>
      <c r="P100" s="4" t="s">
        <v>2543</v>
      </c>
      <c r="Q100" s="4" t="s">
        <v>2528</v>
      </c>
      <c r="R100" s="4"/>
      <c r="S100" s="4"/>
      <c r="T100" s="4" t="str">
        <f>HYPERLINK("http://slimages.macys.com/is/image/MCY/20440815 ")</f>
        <v xml:space="preserve">http://slimages.macys.com/is/image/MCY/20440815 </v>
      </c>
    </row>
    <row r="101" spans="1:20" ht="15" customHeight="1" x14ac:dyDescent="0.25">
      <c r="A101" s="4" t="s">
        <v>2489</v>
      </c>
      <c r="B101" s="2" t="s">
        <v>2487</v>
      </c>
      <c r="C101" s="2" t="s">
        <v>2488</v>
      </c>
      <c r="D101" s="5" t="s">
        <v>2490</v>
      </c>
      <c r="E101" s="4" t="s">
        <v>2491</v>
      </c>
      <c r="F101" s="6">
        <v>14236745</v>
      </c>
      <c r="G101" s="3">
        <v>14236745</v>
      </c>
      <c r="H101" s="7">
        <v>762120086318</v>
      </c>
      <c r="I101" s="8" t="s">
        <v>2029</v>
      </c>
      <c r="J101" s="4">
        <v>1</v>
      </c>
      <c r="K101" s="9">
        <v>7.99</v>
      </c>
      <c r="L101" s="9">
        <v>7.99</v>
      </c>
      <c r="M101" s="4" t="s">
        <v>2030</v>
      </c>
      <c r="N101" s="4" t="s">
        <v>2501</v>
      </c>
      <c r="O101" s="4" t="s">
        <v>2650</v>
      </c>
      <c r="P101" s="4" t="s">
        <v>2602</v>
      </c>
      <c r="Q101" s="4" t="s">
        <v>2528</v>
      </c>
      <c r="R101" s="4"/>
      <c r="S101" s="4"/>
      <c r="T101" s="4" t="str">
        <f>HYPERLINK("http://slimages.macys.com/is/image/MCY/20691841 ")</f>
        <v xml:space="preserve">http://slimages.macys.com/is/image/MCY/20691841 </v>
      </c>
    </row>
    <row r="102" spans="1:20" ht="15" customHeight="1" x14ac:dyDescent="0.25">
      <c r="A102" s="4" t="s">
        <v>2489</v>
      </c>
      <c r="B102" s="2" t="s">
        <v>2487</v>
      </c>
      <c r="C102" s="2" t="s">
        <v>2488</v>
      </c>
      <c r="D102" s="5" t="s">
        <v>2490</v>
      </c>
      <c r="E102" s="4" t="s">
        <v>2491</v>
      </c>
      <c r="F102" s="6">
        <v>14236745</v>
      </c>
      <c r="G102" s="3">
        <v>14236745</v>
      </c>
      <c r="H102" s="7">
        <v>195883273136</v>
      </c>
      <c r="I102" s="8" t="s">
        <v>1026</v>
      </c>
      <c r="J102" s="4">
        <v>1</v>
      </c>
      <c r="K102" s="9">
        <v>25.99</v>
      </c>
      <c r="L102" s="9">
        <v>25.99</v>
      </c>
      <c r="M102" s="4" t="s">
        <v>3297</v>
      </c>
      <c r="N102" s="4" t="s">
        <v>2514</v>
      </c>
      <c r="O102" s="4" t="s">
        <v>2524</v>
      </c>
      <c r="P102" s="4" t="s">
        <v>2536</v>
      </c>
      <c r="Q102" s="4" t="s">
        <v>2944</v>
      </c>
      <c r="R102" s="4"/>
      <c r="S102" s="4"/>
      <c r="T102" s="4" t="str">
        <f>HYPERLINK("http://slimages.macys.com/is/image/MCY/19856699 ")</f>
        <v xml:space="preserve">http://slimages.macys.com/is/image/MCY/19856699 </v>
      </c>
    </row>
    <row r="103" spans="1:20" ht="15" customHeight="1" x14ac:dyDescent="0.25">
      <c r="A103" s="4" t="s">
        <v>2489</v>
      </c>
      <c r="B103" s="2" t="s">
        <v>2487</v>
      </c>
      <c r="C103" s="2" t="s">
        <v>2488</v>
      </c>
      <c r="D103" s="5" t="s">
        <v>2490</v>
      </c>
      <c r="E103" s="4" t="s">
        <v>2491</v>
      </c>
      <c r="F103" s="6">
        <v>14236745</v>
      </c>
      <c r="G103" s="3">
        <v>14236745</v>
      </c>
      <c r="H103" s="7">
        <v>733004038532</v>
      </c>
      <c r="I103" s="8" t="s">
        <v>1626</v>
      </c>
      <c r="J103" s="4">
        <v>1</v>
      </c>
      <c r="K103" s="9">
        <v>7.99</v>
      </c>
      <c r="L103" s="9">
        <v>7.99</v>
      </c>
      <c r="M103" s="4" t="s">
        <v>3145</v>
      </c>
      <c r="N103" s="4" t="s">
        <v>2567</v>
      </c>
      <c r="O103" s="4" t="s">
        <v>2650</v>
      </c>
      <c r="P103" s="4" t="s">
        <v>2602</v>
      </c>
      <c r="Q103" s="4" t="s">
        <v>2528</v>
      </c>
      <c r="R103" s="4"/>
      <c r="S103" s="4"/>
      <c r="T103" s="4" t="str">
        <f>HYPERLINK("http://slimages.macys.com/is/image/MCY/19988126 ")</f>
        <v xml:space="preserve">http://slimages.macys.com/is/image/MCY/19988126 </v>
      </c>
    </row>
    <row r="104" spans="1:20" ht="15" customHeight="1" x14ac:dyDescent="0.25">
      <c r="A104" s="4" t="s">
        <v>2489</v>
      </c>
      <c r="B104" s="2" t="s">
        <v>2487</v>
      </c>
      <c r="C104" s="2" t="s">
        <v>2488</v>
      </c>
      <c r="D104" s="5" t="s">
        <v>2490</v>
      </c>
      <c r="E104" s="4" t="s">
        <v>2491</v>
      </c>
      <c r="F104" s="6">
        <v>14236745</v>
      </c>
      <c r="G104" s="3">
        <v>14236745</v>
      </c>
      <c r="H104" s="7">
        <v>733004738616</v>
      </c>
      <c r="I104" s="8" t="s">
        <v>1027</v>
      </c>
      <c r="J104" s="4">
        <v>1</v>
      </c>
      <c r="K104" s="9">
        <v>6.99</v>
      </c>
      <c r="L104" s="9">
        <v>6.99</v>
      </c>
      <c r="M104" s="4" t="s">
        <v>1028</v>
      </c>
      <c r="N104" s="4" t="s">
        <v>2501</v>
      </c>
      <c r="O104" s="4" t="s">
        <v>2601</v>
      </c>
      <c r="P104" s="4" t="s">
        <v>2503</v>
      </c>
      <c r="Q104" s="4" t="s">
        <v>2504</v>
      </c>
      <c r="R104" s="4"/>
      <c r="S104" s="4"/>
      <c r="T104" s="4" t="str">
        <f>HYPERLINK("http://slimages.macys.com/is/image/MCY/19977837 ")</f>
        <v xml:space="preserve">http://slimages.macys.com/is/image/MCY/19977837 </v>
      </c>
    </row>
    <row r="105" spans="1:20" ht="15" customHeight="1" x14ac:dyDescent="0.25">
      <c r="A105" s="4" t="s">
        <v>2489</v>
      </c>
      <c r="B105" s="2" t="s">
        <v>2487</v>
      </c>
      <c r="C105" s="2" t="s">
        <v>2488</v>
      </c>
      <c r="D105" s="5" t="s">
        <v>2490</v>
      </c>
      <c r="E105" s="4" t="s">
        <v>2491</v>
      </c>
      <c r="F105" s="6">
        <v>14236745</v>
      </c>
      <c r="G105" s="3">
        <v>14236745</v>
      </c>
      <c r="H105" s="7">
        <v>762120689328</v>
      </c>
      <c r="I105" s="8" t="s">
        <v>3030</v>
      </c>
      <c r="J105" s="4">
        <v>2</v>
      </c>
      <c r="K105" s="9">
        <v>16.989999999999998</v>
      </c>
      <c r="L105" s="9">
        <v>33.979999999999997</v>
      </c>
      <c r="M105" s="4" t="s">
        <v>3031</v>
      </c>
      <c r="N105" s="4" t="s">
        <v>2518</v>
      </c>
      <c r="O105" s="4" t="s">
        <v>2498</v>
      </c>
      <c r="P105" s="4" t="s">
        <v>2515</v>
      </c>
      <c r="Q105" s="4" t="s">
        <v>2672</v>
      </c>
      <c r="R105" s="4"/>
      <c r="S105" s="4"/>
      <c r="T105" s="4" t="str">
        <f>HYPERLINK("http://slimages.macys.com/is/image/MCY/20549489 ")</f>
        <v xml:space="preserve">http://slimages.macys.com/is/image/MCY/20549489 </v>
      </c>
    </row>
    <row r="106" spans="1:20" ht="15" customHeight="1" x14ac:dyDescent="0.25">
      <c r="A106" s="4" t="s">
        <v>2489</v>
      </c>
      <c r="B106" s="2" t="s">
        <v>2487</v>
      </c>
      <c r="C106" s="2" t="s">
        <v>2488</v>
      </c>
      <c r="D106" s="5" t="s">
        <v>2490</v>
      </c>
      <c r="E106" s="4" t="s">
        <v>2491</v>
      </c>
      <c r="F106" s="6">
        <v>14236745</v>
      </c>
      <c r="G106" s="3">
        <v>14236745</v>
      </c>
      <c r="H106" s="7">
        <v>762120085434</v>
      </c>
      <c r="I106" s="8" t="s">
        <v>2168</v>
      </c>
      <c r="J106" s="4">
        <v>1</v>
      </c>
      <c r="K106" s="9">
        <v>7.99</v>
      </c>
      <c r="L106" s="9">
        <v>7.99</v>
      </c>
      <c r="M106" s="4" t="s">
        <v>2929</v>
      </c>
      <c r="N106" s="4"/>
      <c r="O106" s="4">
        <v>5</v>
      </c>
      <c r="P106" s="4" t="s">
        <v>2602</v>
      </c>
      <c r="Q106" s="4" t="s">
        <v>2528</v>
      </c>
      <c r="R106" s="4"/>
      <c r="S106" s="4"/>
      <c r="T106" s="4" t="str">
        <f>HYPERLINK("http://slimages.macys.com/is/image/MCY/20691811 ")</f>
        <v xml:space="preserve">http://slimages.macys.com/is/image/MCY/20691811 </v>
      </c>
    </row>
    <row r="107" spans="1:20" ht="15" customHeight="1" x14ac:dyDescent="0.25">
      <c r="A107" s="4" t="s">
        <v>2489</v>
      </c>
      <c r="B107" s="2" t="s">
        <v>2487</v>
      </c>
      <c r="C107" s="2" t="s">
        <v>2488</v>
      </c>
      <c r="D107" s="5" t="s">
        <v>2490</v>
      </c>
      <c r="E107" s="4" t="s">
        <v>2491</v>
      </c>
      <c r="F107" s="6">
        <v>14236745</v>
      </c>
      <c r="G107" s="3">
        <v>14236745</v>
      </c>
      <c r="H107" s="7">
        <v>762120086417</v>
      </c>
      <c r="I107" s="8" t="s">
        <v>1456</v>
      </c>
      <c r="J107" s="4">
        <v>2</v>
      </c>
      <c r="K107" s="9">
        <v>7.99</v>
      </c>
      <c r="L107" s="9">
        <v>15.98</v>
      </c>
      <c r="M107" s="4" t="s">
        <v>1776</v>
      </c>
      <c r="N107" s="4" t="s">
        <v>2638</v>
      </c>
      <c r="O107" s="4" t="s">
        <v>2650</v>
      </c>
      <c r="P107" s="4" t="s">
        <v>2602</v>
      </c>
      <c r="Q107" s="4" t="s">
        <v>2528</v>
      </c>
      <c r="R107" s="4"/>
      <c r="S107" s="4"/>
      <c r="T107" s="4" t="str">
        <f>HYPERLINK("http://slimages.macys.com/is/image/MCY/1079693 ")</f>
        <v xml:space="preserve">http://slimages.macys.com/is/image/MCY/1079693 </v>
      </c>
    </row>
    <row r="108" spans="1:20" ht="15" customHeight="1" x14ac:dyDescent="0.25">
      <c r="A108" s="4" t="s">
        <v>2489</v>
      </c>
      <c r="B108" s="2" t="s">
        <v>2487</v>
      </c>
      <c r="C108" s="2" t="s">
        <v>2488</v>
      </c>
      <c r="D108" s="5" t="s">
        <v>2490</v>
      </c>
      <c r="E108" s="4" t="s">
        <v>2491</v>
      </c>
      <c r="F108" s="6">
        <v>14236745</v>
      </c>
      <c r="G108" s="3">
        <v>14236745</v>
      </c>
      <c r="H108" s="7">
        <v>733004743559</v>
      </c>
      <c r="I108" s="8" t="s">
        <v>3433</v>
      </c>
      <c r="J108" s="4">
        <v>1</v>
      </c>
      <c r="K108" s="9">
        <v>7.99</v>
      </c>
      <c r="L108" s="9">
        <v>7.99</v>
      </c>
      <c r="M108" s="4" t="s">
        <v>3434</v>
      </c>
      <c r="N108" s="4" t="s">
        <v>2561</v>
      </c>
      <c r="O108" s="4" t="s">
        <v>2629</v>
      </c>
      <c r="P108" s="4" t="s">
        <v>2503</v>
      </c>
      <c r="Q108" s="4" t="s">
        <v>2504</v>
      </c>
      <c r="R108" s="4"/>
      <c r="S108" s="4"/>
      <c r="T108" s="4" t="str">
        <f>HYPERLINK("http://slimages.macys.com/is/image/MCY/1079204 ")</f>
        <v xml:space="preserve">http://slimages.macys.com/is/image/MCY/1079204 </v>
      </c>
    </row>
    <row r="109" spans="1:20" ht="15" customHeight="1" x14ac:dyDescent="0.25">
      <c r="A109" s="4" t="s">
        <v>2489</v>
      </c>
      <c r="B109" s="2" t="s">
        <v>2487</v>
      </c>
      <c r="C109" s="2" t="s">
        <v>2488</v>
      </c>
      <c r="D109" s="5" t="s">
        <v>2490</v>
      </c>
      <c r="E109" s="4" t="s">
        <v>2491</v>
      </c>
      <c r="F109" s="6">
        <v>14236745</v>
      </c>
      <c r="G109" s="3">
        <v>14236745</v>
      </c>
      <c r="H109" s="7">
        <v>762120086394</v>
      </c>
      <c r="I109" s="8" t="s">
        <v>1403</v>
      </c>
      <c r="J109" s="4">
        <v>2</v>
      </c>
      <c r="K109" s="9">
        <v>7.99</v>
      </c>
      <c r="L109" s="9">
        <v>15.98</v>
      </c>
      <c r="M109" s="4" t="s">
        <v>1776</v>
      </c>
      <c r="N109" s="4" t="s">
        <v>2638</v>
      </c>
      <c r="O109" s="4">
        <v>5</v>
      </c>
      <c r="P109" s="4" t="s">
        <v>2602</v>
      </c>
      <c r="Q109" s="4" t="s">
        <v>2528</v>
      </c>
      <c r="R109" s="4"/>
      <c r="S109" s="4"/>
      <c r="T109" s="4" t="str">
        <f>HYPERLINK("http://slimages.macys.com/is/image/MCY/1079693 ")</f>
        <v xml:space="preserve">http://slimages.macys.com/is/image/MCY/1079693 </v>
      </c>
    </row>
    <row r="110" spans="1:20" ht="15" customHeight="1" x14ac:dyDescent="0.25">
      <c r="A110" s="4" t="s">
        <v>2489</v>
      </c>
      <c r="B110" s="2" t="s">
        <v>2487</v>
      </c>
      <c r="C110" s="2" t="s">
        <v>2488</v>
      </c>
      <c r="D110" s="5" t="s">
        <v>2490</v>
      </c>
      <c r="E110" s="4" t="s">
        <v>2491</v>
      </c>
      <c r="F110" s="6">
        <v>14236745</v>
      </c>
      <c r="G110" s="3">
        <v>14236745</v>
      </c>
      <c r="H110" s="7">
        <v>194257385413</v>
      </c>
      <c r="I110" s="8" t="s">
        <v>2125</v>
      </c>
      <c r="J110" s="4">
        <v>1</v>
      </c>
      <c r="K110" s="9">
        <v>8.99</v>
      </c>
      <c r="L110" s="9">
        <v>8.99</v>
      </c>
      <c r="M110" s="4" t="s">
        <v>3116</v>
      </c>
      <c r="N110" s="4" t="s">
        <v>2567</v>
      </c>
      <c r="O110" s="4" t="s">
        <v>2555</v>
      </c>
      <c r="P110" s="4" t="s">
        <v>2499</v>
      </c>
      <c r="Q110" s="4" t="s">
        <v>2500</v>
      </c>
      <c r="R110" s="4"/>
      <c r="S110" s="4"/>
      <c r="T110" s="4" t="str">
        <f>HYPERLINK("http://slimages.macys.com/is/image/MCY/19933434 ")</f>
        <v xml:space="preserve">http://slimages.macys.com/is/image/MCY/19933434 </v>
      </c>
    </row>
    <row r="111" spans="1:20" ht="15" customHeight="1" x14ac:dyDescent="0.25">
      <c r="A111" s="4" t="s">
        <v>2489</v>
      </c>
      <c r="B111" s="2" t="s">
        <v>2487</v>
      </c>
      <c r="C111" s="2" t="s">
        <v>2488</v>
      </c>
      <c r="D111" s="5" t="s">
        <v>2490</v>
      </c>
      <c r="E111" s="4" t="s">
        <v>2491</v>
      </c>
      <c r="F111" s="6">
        <v>14236745</v>
      </c>
      <c r="G111" s="3">
        <v>14236745</v>
      </c>
      <c r="H111" s="7">
        <v>762120121248</v>
      </c>
      <c r="I111" s="8" t="s">
        <v>1029</v>
      </c>
      <c r="J111" s="4">
        <v>1</v>
      </c>
      <c r="K111" s="9">
        <v>5.99</v>
      </c>
      <c r="L111" s="9">
        <v>5.99</v>
      </c>
      <c r="M111" s="4" t="s">
        <v>1708</v>
      </c>
      <c r="N111" s="4" t="s">
        <v>2497</v>
      </c>
      <c r="O111" s="4" t="s">
        <v>2502</v>
      </c>
      <c r="P111" s="4" t="s">
        <v>2503</v>
      </c>
      <c r="Q111" s="4" t="s">
        <v>2504</v>
      </c>
      <c r="R111" s="4"/>
      <c r="S111" s="4"/>
      <c r="T111" s="4" t="str">
        <f>HYPERLINK("http://slimages.macys.com/is/image/MCY/20386395 ")</f>
        <v xml:space="preserve">http://slimages.macys.com/is/image/MCY/20386395 </v>
      </c>
    </row>
    <row r="112" spans="1:20" ht="15" customHeight="1" x14ac:dyDescent="0.25">
      <c r="A112" s="4" t="s">
        <v>2489</v>
      </c>
      <c r="B112" s="2" t="s">
        <v>2487</v>
      </c>
      <c r="C112" s="2" t="s">
        <v>2488</v>
      </c>
      <c r="D112" s="5" t="s">
        <v>2490</v>
      </c>
      <c r="E112" s="4" t="s">
        <v>2491</v>
      </c>
      <c r="F112" s="6">
        <v>14236745</v>
      </c>
      <c r="G112" s="3">
        <v>14236745</v>
      </c>
      <c r="H112" s="7">
        <v>733003705817</v>
      </c>
      <c r="I112" s="8" t="s">
        <v>2830</v>
      </c>
      <c r="J112" s="4">
        <v>1</v>
      </c>
      <c r="K112" s="9">
        <v>22.99</v>
      </c>
      <c r="L112" s="9">
        <v>22.99</v>
      </c>
      <c r="M112" s="4" t="s">
        <v>2794</v>
      </c>
      <c r="N112" s="4"/>
      <c r="O112" s="4" t="s">
        <v>2650</v>
      </c>
      <c r="P112" s="4" t="s">
        <v>2602</v>
      </c>
      <c r="Q112" s="4" t="s">
        <v>2528</v>
      </c>
      <c r="R112" s="4"/>
      <c r="S112" s="4"/>
      <c r="T112" s="4" t="str">
        <f>HYPERLINK("http://slimages.macys.com/is/image/MCY/19632125 ")</f>
        <v xml:space="preserve">http://slimages.macys.com/is/image/MCY/19632125 </v>
      </c>
    </row>
    <row r="113" spans="1:20" ht="15" customHeight="1" x14ac:dyDescent="0.25">
      <c r="A113" s="4" t="s">
        <v>2489</v>
      </c>
      <c r="B113" s="2" t="s">
        <v>2487</v>
      </c>
      <c r="C113" s="2" t="s">
        <v>2488</v>
      </c>
      <c r="D113" s="5" t="s">
        <v>2490</v>
      </c>
      <c r="E113" s="4" t="s">
        <v>2491</v>
      </c>
      <c r="F113" s="6">
        <v>14236745</v>
      </c>
      <c r="G113" s="3">
        <v>14236745</v>
      </c>
      <c r="H113" s="7">
        <v>733004085901</v>
      </c>
      <c r="I113" s="8" t="s">
        <v>2036</v>
      </c>
      <c r="J113" s="4">
        <v>1</v>
      </c>
      <c r="K113" s="9">
        <v>21.99</v>
      </c>
      <c r="L113" s="9">
        <v>21.99</v>
      </c>
      <c r="M113" s="4" t="s">
        <v>3337</v>
      </c>
      <c r="N113" s="4" t="s">
        <v>2523</v>
      </c>
      <c r="O113" s="4" t="s">
        <v>2671</v>
      </c>
      <c r="P113" s="4" t="s">
        <v>2543</v>
      </c>
      <c r="Q113" s="4" t="s">
        <v>2528</v>
      </c>
      <c r="R113" s="4"/>
      <c r="S113" s="4"/>
      <c r="T113" s="4" t="str">
        <f>HYPERLINK("http://slimages.macys.com/is/image/MCY/20084023 ")</f>
        <v xml:space="preserve">http://slimages.macys.com/is/image/MCY/20084023 </v>
      </c>
    </row>
    <row r="114" spans="1:20" ht="15" customHeight="1" x14ac:dyDescent="0.25">
      <c r="A114" s="4" t="s">
        <v>2489</v>
      </c>
      <c r="B114" s="2" t="s">
        <v>2487</v>
      </c>
      <c r="C114" s="2" t="s">
        <v>2488</v>
      </c>
      <c r="D114" s="5" t="s">
        <v>2490</v>
      </c>
      <c r="E114" s="4" t="s">
        <v>2491</v>
      </c>
      <c r="F114" s="6">
        <v>14236745</v>
      </c>
      <c r="G114" s="3">
        <v>14236745</v>
      </c>
      <c r="H114" s="7">
        <v>733004723124</v>
      </c>
      <c r="I114" s="8" t="s">
        <v>3177</v>
      </c>
      <c r="J114" s="4">
        <v>2</v>
      </c>
      <c r="K114" s="9">
        <v>25.99</v>
      </c>
      <c r="L114" s="9">
        <v>51.98</v>
      </c>
      <c r="M114" s="4" t="s">
        <v>3178</v>
      </c>
      <c r="N114" s="4" t="s">
        <v>2518</v>
      </c>
      <c r="O114" s="4"/>
      <c r="P114" s="4" t="s">
        <v>2503</v>
      </c>
      <c r="Q114" s="4" t="s">
        <v>2504</v>
      </c>
      <c r="R114" s="4"/>
      <c r="S114" s="4"/>
      <c r="T114" s="4" t="str">
        <f>HYPERLINK("http://slimages.macys.com/is/image/MCY/1041651 ")</f>
        <v xml:space="preserve">http://slimages.macys.com/is/image/MCY/1041651 </v>
      </c>
    </row>
    <row r="115" spans="1:20" ht="15" customHeight="1" x14ac:dyDescent="0.25">
      <c r="A115" s="4" t="s">
        <v>2489</v>
      </c>
      <c r="B115" s="2" t="s">
        <v>2487</v>
      </c>
      <c r="C115" s="2" t="s">
        <v>2488</v>
      </c>
      <c r="D115" s="5" t="s">
        <v>2490</v>
      </c>
      <c r="E115" s="4" t="s">
        <v>2491</v>
      </c>
      <c r="F115" s="6">
        <v>14236745</v>
      </c>
      <c r="G115" s="3">
        <v>14236745</v>
      </c>
      <c r="H115" s="7">
        <v>733004765025</v>
      </c>
      <c r="I115" s="8" t="s">
        <v>3427</v>
      </c>
      <c r="J115" s="4">
        <v>3</v>
      </c>
      <c r="K115" s="9">
        <v>21.99</v>
      </c>
      <c r="L115" s="9">
        <v>65.97</v>
      </c>
      <c r="M115" s="4" t="s">
        <v>3428</v>
      </c>
      <c r="N115" s="4" t="s">
        <v>2598</v>
      </c>
      <c r="O115" s="4" t="s">
        <v>2498</v>
      </c>
      <c r="P115" s="4" t="s">
        <v>2515</v>
      </c>
      <c r="Q115" s="4" t="s">
        <v>2672</v>
      </c>
      <c r="R115" s="4"/>
      <c r="S115" s="4"/>
      <c r="T115" s="4" t="str">
        <f>HYPERLINK("http://slimages.macys.com/is/image/MCY/20530565 ")</f>
        <v xml:space="preserve">http://slimages.macys.com/is/image/MCY/20530565 </v>
      </c>
    </row>
    <row r="116" spans="1:20" ht="15" customHeight="1" x14ac:dyDescent="0.25">
      <c r="A116" s="4" t="s">
        <v>2489</v>
      </c>
      <c r="B116" s="2" t="s">
        <v>2487</v>
      </c>
      <c r="C116" s="2" t="s">
        <v>2488</v>
      </c>
      <c r="D116" s="5" t="s">
        <v>2490</v>
      </c>
      <c r="E116" s="4" t="s">
        <v>2491</v>
      </c>
      <c r="F116" s="6">
        <v>14236745</v>
      </c>
      <c r="G116" s="3">
        <v>14236745</v>
      </c>
      <c r="H116" s="7">
        <v>195958125292</v>
      </c>
      <c r="I116" s="8" t="s">
        <v>1525</v>
      </c>
      <c r="J116" s="4">
        <v>1</v>
      </c>
      <c r="K116" s="9">
        <v>21.99</v>
      </c>
      <c r="L116" s="9">
        <v>21.99</v>
      </c>
      <c r="M116" s="4" t="s">
        <v>1521</v>
      </c>
      <c r="N116" s="4" t="s">
        <v>2544</v>
      </c>
      <c r="O116" s="4" t="s">
        <v>2524</v>
      </c>
      <c r="P116" s="4" t="s">
        <v>2536</v>
      </c>
      <c r="Q116" s="4" t="s">
        <v>2844</v>
      </c>
      <c r="R116" s="4"/>
      <c r="S116" s="4"/>
      <c r="T116" s="4" t="str">
        <f>HYPERLINK("http://slimages.macys.com/is/image/MCY/20544696 ")</f>
        <v xml:space="preserve">http://slimages.macys.com/is/image/MCY/20544696 </v>
      </c>
    </row>
    <row r="117" spans="1:20" ht="15" customHeight="1" x14ac:dyDescent="0.25">
      <c r="A117" s="4" t="s">
        <v>2489</v>
      </c>
      <c r="B117" s="2" t="s">
        <v>2487</v>
      </c>
      <c r="C117" s="2" t="s">
        <v>2488</v>
      </c>
      <c r="D117" s="5" t="s">
        <v>2490</v>
      </c>
      <c r="E117" s="4" t="s">
        <v>2491</v>
      </c>
      <c r="F117" s="6">
        <v>14236745</v>
      </c>
      <c r="G117" s="3">
        <v>14236745</v>
      </c>
      <c r="H117" s="7">
        <v>733002399062</v>
      </c>
      <c r="I117" s="8" t="s">
        <v>1030</v>
      </c>
      <c r="J117" s="4">
        <v>1</v>
      </c>
      <c r="K117" s="9">
        <v>21.99</v>
      </c>
      <c r="L117" s="9">
        <v>21.99</v>
      </c>
      <c r="M117" s="4" t="s">
        <v>2363</v>
      </c>
      <c r="N117" s="4"/>
      <c r="O117" s="4" t="s">
        <v>2555</v>
      </c>
      <c r="P117" s="4" t="s">
        <v>2543</v>
      </c>
      <c r="Q117" s="4" t="s">
        <v>2528</v>
      </c>
      <c r="R117" s="4"/>
      <c r="S117" s="4"/>
      <c r="T117" s="4" t="str">
        <f>HYPERLINK("http://slimages.macys.com/is/image/MCY/18721918 ")</f>
        <v xml:space="preserve">http://slimages.macys.com/is/image/MCY/18721918 </v>
      </c>
    </row>
    <row r="118" spans="1:20" ht="15" customHeight="1" x14ac:dyDescent="0.25">
      <c r="A118" s="4" t="s">
        <v>2489</v>
      </c>
      <c r="B118" s="2" t="s">
        <v>2487</v>
      </c>
      <c r="C118" s="2" t="s">
        <v>2488</v>
      </c>
      <c r="D118" s="5" t="s">
        <v>2490</v>
      </c>
      <c r="E118" s="4" t="s">
        <v>2491</v>
      </c>
      <c r="F118" s="6">
        <v>14236745</v>
      </c>
      <c r="G118" s="3">
        <v>14236745</v>
      </c>
      <c r="H118" s="7">
        <v>733003643034</v>
      </c>
      <c r="I118" s="8" t="s">
        <v>1991</v>
      </c>
      <c r="J118" s="4">
        <v>1</v>
      </c>
      <c r="K118" s="9">
        <v>21.99</v>
      </c>
      <c r="L118" s="9">
        <v>21.99</v>
      </c>
      <c r="M118" s="4" t="s">
        <v>1917</v>
      </c>
      <c r="N118" s="4" t="s">
        <v>2567</v>
      </c>
      <c r="O118" s="4" t="s">
        <v>2671</v>
      </c>
      <c r="P118" s="4" t="s">
        <v>2515</v>
      </c>
      <c r="Q118" s="4" t="s">
        <v>2516</v>
      </c>
      <c r="R118" s="4"/>
      <c r="S118" s="4"/>
      <c r="T118" s="4" t="str">
        <f>HYPERLINK("http://slimages.macys.com/is/image/MCY/20008274 ")</f>
        <v xml:space="preserve">http://slimages.macys.com/is/image/MCY/20008274 </v>
      </c>
    </row>
    <row r="119" spans="1:20" ht="15" customHeight="1" x14ac:dyDescent="0.25">
      <c r="A119" s="4" t="s">
        <v>2489</v>
      </c>
      <c r="B119" s="2" t="s">
        <v>2487</v>
      </c>
      <c r="C119" s="2" t="s">
        <v>2488</v>
      </c>
      <c r="D119" s="5" t="s">
        <v>2490</v>
      </c>
      <c r="E119" s="4" t="s">
        <v>2491</v>
      </c>
      <c r="F119" s="6">
        <v>14236745</v>
      </c>
      <c r="G119" s="3">
        <v>14236745</v>
      </c>
      <c r="H119" s="7">
        <v>733004800511</v>
      </c>
      <c r="I119" s="8" t="s">
        <v>3002</v>
      </c>
      <c r="J119" s="4">
        <v>1</v>
      </c>
      <c r="K119" s="9">
        <v>12.99</v>
      </c>
      <c r="L119" s="9">
        <v>12.99</v>
      </c>
      <c r="M119" s="4" t="s">
        <v>2724</v>
      </c>
      <c r="N119" s="4" t="s">
        <v>2530</v>
      </c>
      <c r="O119" s="4" t="s">
        <v>2653</v>
      </c>
      <c r="P119" s="4" t="s">
        <v>2602</v>
      </c>
      <c r="Q119" s="4" t="s">
        <v>2528</v>
      </c>
      <c r="R119" s="4"/>
      <c r="S119" s="4"/>
      <c r="T119" s="4" t="str">
        <f>HYPERLINK("http://slimages.macys.com/is/image/MCY/1030526 ")</f>
        <v xml:space="preserve">http://slimages.macys.com/is/image/MCY/1030526 </v>
      </c>
    </row>
    <row r="120" spans="1:20" ht="15" customHeight="1" x14ac:dyDescent="0.25">
      <c r="A120" s="4" t="s">
        <v>2489</v>
      </c>
      <c r="B120" s="2" t="s">
        <v>2487</v>
      </c>
      <c r="C120" s="2" t="s">
        <v>2488</v>
      </c>
      <c r="D120" s="5" t="s">
        <v>2490</v>
      </c>
      <c r="E120" s="4" t="s">
        <v>2491</v>
      </c>
      <c r="F120" s="6">
        <v>14236745</v>
      </c>
      <c r="G120" s="3">
        <v>14236745</v>
      </c>
      <c r="H120" s="7">
        <v>733004952838</v>
      </c>
      <c r="I120" s="8" t="s">
        <v>1631</v>
      </c>
      <c r="J120" s="4">
        <v>1</v>
      </c>
      <c r="K120" s="9">
        <v>13.99</v>
      </c>
      <c r="L120" s="9">
        <v>13.99</v>
      </c>
      <c r="M120" s="4" t="s">
        <v>3456</v>
      </c>
      <c r="N120" s="4" t="s">
        <v>2505</v>
      </c>
      <c r="O120" s="4"/>
      <c r="P120" s="4" t="s">
        <v>2503</v>
      </c>
      <c r="Q120" s="4" t="s">
        <v>2504</v>
      </c>
      <c r="R120" s="4"/>
      <c r="S120" s="4"/>
      <c r="T120" s="4" t="str">
        <f>HYPERLINK("http://slimages.macys.com/is/image/MCY/20142515 ")</f>
        <v xml:space="preserve">http://slimages.macys.com/is/image/MCY/20142515 </v>
      </c>
    </row>
    <row r="121" spans="1:20" ht="15" customHeight="1" x14ac:dyDescent="0.25">
      <c r="A121" s="4" t="s">
        <v>2489</v>
      </c>
      <c r="B121" s="2" t="s">
        <v>2487</v>
      </c>
      <c r="C121" s="2" t="s">
        <v>2488</v>
      </c>
      <c r="D121" s="5" t="s">
        <v>2490</v>
      </c>
      <c r="E121" s="4" t="s">
        <v>2491</v>
      </c>
      <c r="F121" s="6">
        <v>14236745</v>
      </c>
      <c r="G121" s="3">
        <v>14236745</v>
      </c>
      <c r="H121" s="7">
        <v>194753884991</v>
      </c>
      <c r="I121" s="8" t="s">
        <v>1031</v>
      </c>
      <c r="J121" s="4">
        <v>1</v>
      </c>
      <c r="K121" s="9">
        <v>22.99</v>
      </c>
      <c r="L121" s="9">
        <v>22.99</v>
      </c>
      <c r="M121" s="4" t="s">
        <v>1032</v>
      </c>
      <c r="N121" s="4" t="s">
        <v>2544</v>
      </c>
      <c r="O121" s="4" t="s">
        <v>2559</v>
      </c>
      <c r="P121" s="4" t="s">
        <v>2562</v>
      </c>
      <c r="Q121" s="4" t="s">
        <v>2603</v>
      </c>
      <c r="R121" s="4"/>
      <c r="S121" s="4"/>
      <c r="T121" s="4" t="str">
        <f>HYPERLINK("http://slimages.macys.com/is/image/MCY/20123052 ")</f>
        <v xml:space="preserve">http://slimages.macys.com/is/image/MCY/20123052 </v>
      </c>
    </row>
    <row r="122" spans="1:20" ht="15" customHeight="1" x14ac:dyDescent="0.25">
      <c r="A122" s="4" t="s">
        <v>2489</v>
      </c>
      <c r="B122" s="2" t="s">
        <v>2487</v>
      </c>
      <c r="C122" s="2" t="s">
        <v>2488</v>
      </c>
      <c r="D122" s="5" t="s">
        <v>2490</v>
      </c>
      <c r="E122" s="4" t="s">
        <v>2491</v>
      </c>
      <c r="F122" s="6">
        <v>14236745</v>
      </c>
      <c r="G122" s="3">
        <v>14236745</v>
      </c>
      <c r="H122" s="7">
        <v>193579402556</v>
      </c>
      <c r="I122" s="8" t="s">
        <v>1033</v>
      </c>
      <c r="J122" s="4">
        <v>1</v>
      </c>
      <c r="K122" s="9">
        <v>51.99</v>
      </c>
      <c r="L122" s="9">
        <v>51.99</v>
      </c>
      <c r="M122" s="4" t="s">
        <v>1034</v>
      </c>
      <c r="N122" s="4" t="s">
        <v>2497</v>
      </c>
      <c r="O122" s="4" t="s">
        <v>2688</v>
      </c>
      <c r="P122" s="4" t="s">
        <v>2550</v>
      </c>
      <c r="Q122" s="4" t="s">
        <v>2793</v>
      </c>
      <c r="R122" s="4" t="s">
        <v>2552</v>
      </c>
      <c r="S122" s="4" t="s">
        <v>2923</v>
      </c>
      <c r="T122" s="4" t="str">
        <f>HYPERLINK("http://slimages.macys.com/is/image/MCY/10226488 ")</f>
        <v xml:space="preserve">http://slimages.macys.com/is/image/MCY/10226488 </v>
      </c>
    </row>
    <row r="123" spans="1:20" ht="15" customHeight="1" x14ac:dyDescent="0.25">
      <c r="A123" s="4" t="s">
        <v>2489</v>
      </c>
      <c r="B123" s="2" t="s">
        <v>2487</v>
      </c>
      <c r="C123" s="2" t="s">
        <v>2488</v>
      </c>
      <c r="D123" s="5" t="s">
        <v>2490</v>
      </c>
      <c r="E123" s="4" t="s">
        <v>2491</v>
      </c>
      <c r="F123" s="6">
        <v>14236745</v>
      </c>
      <c r="G123" s="3">
        <v>14236745</v>
      </c>
      <c r="H123" s="7">
        <v>733004729379</v>
      </c>
      <c r="I123" s="8" t="s">
        <v>1035</v>
      </c>
      <c r="J123" s="4">
        <v>1</v>
      </c>
      <c r="K123" s="9">
        <v>11.99</v>
      </c>
      <c r="L123" s="9">
        <v>11.99</v>
      </c>
      <c r="M123" s="4" t="s">
        <v>982</v>
      </c>
      <c r="N123" s="4" t="s">
        <v>2571</v>
      </c>
      <c r="O123" s="4" t="s">
        <v>2555</v>
      </c>
      <c r="P123" s="4" t="s">
        <v>2520</v>
      </c>
      <c r="Q123" s="4" t="s">
        <v>2521</v>
      </c>
      <c r="R123" s="4"/>
      <c r="S123" s="4"/>
      <c r="T123" s="4" t="str">
        <f>HYPERLINK("http://slimages.macys.com/is/image/MCY/20433931 ")</f>
        <v xml:space="preserve">http://slimages.macys.com/is/image/MCY/20433931 </v>
      </c>
    </row>
    <row r="124" spans="1:20" ht="15" customHeight="1" x14ac:dyDescent="0.25">
      <c r="A124" s="4" t="s">
        <v>2489</v>
      </c>
      <c r="B124" s="2" t="s">
        <v>2487</v>
      </c>
      <c r="C124" s="2" t="s">
        <v>2488</v>
      </c>
      <c r="D124" s="5" t="s">
        <v>2490</v>
      </c>
      <c r="E124" s="4" t="s">
        <v>2491</v>
      </c>
      <c r="F124" s="6">
        <v>14236745</v>
      </c>
      <c r="G124" s="3">
        <v>14236745</v>
      </c>
      <c r="H124" s="7">
        <v>733004294693</v>
      </c>
      <c r="I124" s="8" t="s">
        <v>1542</v>
      </c>
      <c r="J124" s="4">
        <v>1</v>
      </c>
      <c r="K124" s="9">
        <v>19.989999999999998</v>
      </c>
      <c r="L124" s="9">
        <v>19.989999999999998</v>
      </c>
      <c r="M124" s="4" t="s">
        <v>3008</v>
      </c>
      <c r="N124" s="4" t="s">
        <v>2531</v>
      </c>
      <c r="O124" s="4"/>
      <c r="P124" s="4" t="s">
        <v>2503</v>
      </c>
      <c r="Q124" s="4" t="s">
        <v>2504</v>
      </c>
      <c r="R124" s="4"/>
      <c r="S124" s="4"/>
      <c r="T124" s="4" t="str">
        <f>HYPERLINK("http://slimages.macys.com/is/image/MCY/19754689 ")</f>
        <v xml:space="preserve">http://slimages.macys.com/is/image/MCY/19754689 </v>
      </c>
    </row>
    <row r="125" spans="1:20" ht="15" customHeight="1" x14ac:dyDescent="0.25">
      <c r="A125" s="4" t="s">
        <v>2489</v>
      </c>
      <c r="B125" s="2" t="s">
        <v>2487</v>
      </c>
      <c r="C125" s="2" t="s">
        <v>2488</v>
      </c>
      <c r="D125" s="5" t="s">
        <v>2490</v>
      </c>
      <c r="E125" s="4" t="s">
        <v>2491</v>
      </c>
      <c r="F125" s="6">
        <v>14236745</v>
      </c>
      <c r="G125" s="3">
        <v>14236745</v>
      </c>
      <c r="H125" s="7">
        <v>733004297632</v>
      </c>
      <c r="I125" s="8" t="s">
        <v>2138</v>
      </c>
      <c r="J125" s="4">
        <v>1</v>
      </c>
      <c r="K125" s="9">
        <v>27.99</v>
      </c>
      <c r="L125" s="9">
        <v>27.99</v>
      </c>
      <c r="M125" s="4" t="s">
        <v>2949</v>
      </c>
      <c r="N125" s="4" t="s">
        <v>2497</v>
      </c>
      <c r="O125" s="4" t="s">
        <v>2555</v>
      </c>
      <c r="P125" s="4" t="s">
        <v>2515</v>
      </c>
      <c r="Q125" s="4" t="s">
        <v>2672</v>
      </c>
      <c r="R125" s="4"/>
      <c r="S125" s="4"/>
      <c r="T125" s="4" t="str">
        <f>HYPERLINK("http://slimages.macys.com/is/image/MCY/20143278 ")</f>
        <v xml:space="preserve">http://slimages.macys.com/is/image/MCY/20143278 </v>
      </c>
    </row>
    <row r="126" spans="1:20" ht="15" customHeight="1" x14ac:dyDescent="0.25">
      <c r="A126" s="4" t="s">
        <v>2489</v>
      </c>
      <c r="B126" s="2" t="s">
        <v>2487</v>
      </c>
      <c r="C126" s="2" t="s">
        <v>2488</v>
      </c>
      <c r="D126" s="5" t="s">
        <v>2490</v>
      </c>
      <c r="E126" s="4" t="s">
        <v>2491</v>
      </c>
      <c r="F126" s="6">
        <v>14236745</v>
      </c>
      <c r="G126" s="3">
        <v>14236745</v>
      </c>
      <c r="H126" s="7">
        <v>733004542930</v>
      </c>
      <c r="I126" s="8" t="s">
        <v>1036</v>
      </c>
      <c r="J126" s="4">
        <v>1</v>
      </c>
      <c r="K126" s="9">
        <v>40.99</v>
      </c>
      <c r="L126" s="9">
        <v>40.99</v>
      </c>
      <c r="M126" s="4" t="s">
        <v>2047</v>
      </c>
      <c r="N126" s="4" t="s">
        <v>2731</v>
      </c>
      <c r="O126" s="4" t="s">
        <v>2671</v>
      </c>
      <c r="P126" s="4" t="s">
        <v>2543</v>
      </c>
      <c r="Q126" s="4" t="s">
        <v>2528</v>
      </c>
      <c r="R126" s="4"/>
      <c r="S126" s="4"/>
      <c r="T126" s="4" t="str">
        <f>HYPERLINK("http://slimages.macys.com/is/image/MCY/20158262 ")</f>
        <v xml:space="preserve">http://slimages.macys.com/is/image/MCY/20158262 </v>
      </c>
    </row>
    <row r="127" spans="1:20" ht="15" customHeight="1" x14ac:dyDescent="0.25">
      <c r="A127" s="4" t="s">
        <v>2489</v>
      </c>
      <c r="B127" s="2" t="s">
        <v>2487</v>
      </c>
      <c r="C127" s="2" t="s">
        <v>2488</v>
      </c>
      <c r="D127" s="5" t="s">
        <v>2490</v>
      </c>
      <c r="E127" s="4" t="s">
        <v>2491</v>
      </c>
      <c r="F127" s="6">
        <v>14236745</v>
      </c>
      <c r="G127" s="3">
        <v>14236745</v>
      </c>
      <c r="H127" s="7">
        <v>762120263856</v>
      </c>
      <c r="I127" s="8" t="s">
        <v>1574</v>
      </c>
      <c r="J127" s="4">
        <v>1</v>
      </c>
      <c r="K127" s="9">
        <v>22.99</v>
      </c>
      <c r="L127" s="9">
        <v>22.99</v>
      </c>
      <c r="M127" s="4" t="s">
        <v>1037</v>
      </c>
      <c r="N127" s="4" t="s">
        <v>2501</v>
      </c>
      <c r="O127" s="4" t="s">
        <v>2498</v>
      </c>
      <c r="P127" s="4" t="s">
        <v>2543</v>
      </c>
      <c r="Q127" s="4" t="s">
        <v>2528</v>
      </c>
      <c r="R127" s="4"/>
      <c r="S127" s="4"/>
      <c r="T127" s="4" t="str">
        <f>HYPERLINK("http://slimages.macys.com/is/image/MCY/1111487 ")</f>
        <v xml:space="preserve">http://slimages.macys.com/is/image/MCY/1111487 </v>
      </c>
    </row>
    <row r="128" spans="1:20" ht="15" customHeight="1" x14ac:dyDescent="0.25">
      <c r="A128" s="4" t="s">
        <v>2489</v>
      </c>
      <c r="B128" s="2" t="s">
        <v>2487</v>
      </c>
      <c r="C128" s="2" t="s">
        <v>2488</v>
      </c>
      <c r="D128" s="5" t="s">
        <v>2490</v>
      </c>
      <c r="E128" s="4" t="s">
        <v>2491</v>
      </c>
      <c r="F128" s="6">
        <v>14236745</v>
      </c>
      <c r="G128" s="3">
        <v>14236745</v>
      </c>
      <c r="H128" s="7">
        <v>733004297649</v>
      </c>
      <c r="I128" s="8" t="s">
        <v>1935</v>
      </c>
      <c r="J128" s="4">
        <v>2</v>
      </c>
      <c r="K128" s="9">
        <v>27.99</v>
      </c>
      <c r="L128" s="9">
        <v>55.98</v>
      </c>
      <c r="M128" s="4" t="s">
        <v>2949</v>
      </c>
      <c r="N128" s="4" t="s">
        <v>2497</v>
      </c>
      <c r="O128" s="4" t="s">
        <v>2498</v>
      </c>
      <c r="P128" s="4" t="s">
        <v>2515</v>
      </c>
      <c r="Q128" s="4" t="s">
        <v>2672</v>
      </c>
      <c r="R128" s="4"/>
      <c r="S128" s="4"/>
      <c r="T128" s="4" t="str">
        <f>HYPERLINK("http://slimages.macys.com/is/image/MCY/20143278 ")</f>
        <v xml:space="preserve">http://slimages.macys.com/is/image/MCY/20143278 </v>
      </c>
    </row>
    <row r="129" spans="1:20" ht="15" customHeight="1" x14ac:dyDescent="0.25">
      <c r="A129" s="4" t="s">
        <v>2489</v>
      </c>
      <c r="B129" s="2" t="s">
        <v>2487</v>
      </c>
      <c r="C129" s="2" t="s">
        <v>2488</v>
      </c>
      <c r="D129" s="5" t="s">
        <v>2490</v>
      </c>
      <c r="E129" s="4" t="s">
        <v>2491</v>
      </c>
      <c r="F129" s="6">
        <v>14236745</v>
      </c>
      <c r="G129" s="3">
        <v>14236745</v>
      </c>
      <c r="H129" s="7">
        <v>733004085932</v>
      </c>
      <c r="I129" s="8" t="s">
        <v>1572</v>
      </c>
      <c r="J129" s="4">
        <v>1</v>
      </c>
      <c r="K129" s="9">
        <v>21.99</v>
      </c>
      <c r="L129" s="9">
        <v>21.99</v>
      </c>
      <c r="M129" s="4" t="s">
        <v>1573</v>
      </c>
      <c r="N129" s="4" t="s">
        <v>2567</v>
      </c>
      <c r="O129" s="4" t="s">
        <v>2498</v>
      </c>
      <c r="P129" s="4" t="s">
        <v>2543</v>
      </c>
      <c r="Q129" s="4" t="s">
        <v>2528</v>
      </c>
      <c r="R129" s="4"/>
      <c r="S129" s="4"/>
      <c r="T129" s="4" t="str">
        <f>HYPERLINK("http://slimages.macys.com/is/image/MCY/19988444 ")</f>
        <v xml:space="preserve">http://slimages.macys.com/is/image/MCY/19988444 </v>
      </c>
    </row>
    <row r="130" spans="1:20" ht="15" customHeight="1" x14ac:dyDescent="0.25">
      <c r="A130" s="4" t="s">
        <v>2489</v>
      </c>
      <c r="B130" s="2" t="s">
        <v>2487</v>
      </c>
      <c r="C130" s="2" t="s">
        <v>2488</v>
      </c>
      <c r="D130" s="5" t="s">
        <v>2490</v>
      </c>
      <c r="E130" s="4" t="s">
        <v>2491</v>
      </c>
      <c r="F130" s="6">
        <v>14236745</v>
      </c>
      <c r="G130" s="3">
        <v>14236745</v>
      </c>
      <c r="H130" s="7">
        <v>733004085833</v>
      </c>
      <c r="I130" s="8" t="s">
        <v>2841</v>
      </c>
      <c r="J130" s="4">
        <v>1</v>
      </c>
      <c r="K130" s="9">
        <v>21.99</v>
      </c>
      <c r="L130" s="9">
        <v>21.99</v>
      </c>
      <c r="M130" s="4" t="s">
        <v>2842</v>
      </c>
      <c r="N130" s="4" t="s">
        <v>2514</v>
      </c>
      <c r="O130" s="4" t="s">
        <v>2519</v>
      </c>
      <c r="P130" s="4" t="s">
        <v>2543</v>
      </c>
      <c r="Q130" s="4" t="s">
        <v>2528</v>
      </c>
      <c r="R130" s="4"/>
      <c r="S130" s="4"/>
      <c r="T130" s="4" t="str">
        <f>HYPERLINK("http://slimages.macys.com/is/image/MCY/19988442 ")</f>
        <v xml:space="preserve">http://slimages.macys.com/is/image/MCY/19988442 </v>
      </c>
    </row>
    <row r="131" spans="1:20" ht="15" customHeight="1" x14ac:dyDescent="0.25">
      <c r="A131" s="4" t="s">
        <v>2489</v>
      </c>
      <c r="B131" s="2" t="s">
        <v>2487</v>
      </c>
      <c r="C131" s="2" t="s">
        <v>2488</v>
      </c>
      <c r="D131" s="5" t="s">
        <v>2490</v>
      </c>
      <c r="E131" s="4" t="s">
        <v>2491</v>
      </c>
      <c r="F131" s="6">
        <v>14236745</v>
      </c>
      <c r="G131" s="3">
        <v>14236745</v>
      </c>
      <c r="H131" s="7">
        <v>887685988621</v>
      </c>
      <c r="I131" s="8" t="s">
        <v>1038</v>
      </c>
      <c r="J131" s="4">
        <v>1</v>
      </c>
      <c r="K131" s="9">
        <v>135</v>
      </c>
      <c r="L131" s="9">
        <v>135</v>
      </c>
      <c r="M131" s="4">
        <v>321853498001</v>
      </c>
      <c r="N131" s="4" t="s">
        <v>2497</v>
      </c>
      <c r="O131" s="4" t="s">
        <v>2524</v>
      </c>
      <c r="P131" s="4" t="s">
        <v>2615</v>
      </c>
      <c r="Q131" s="4" t="s">
        <v>2616</v>
      </c>
      <c r="R131" s="4"/>
      <c r="S131" s="4"/>
      <c r="T131" s="4" t="str">
        <f>HYPERLINK("http://slimages.macys.com/is/image/MCY/20141375 ")</f>
        <v xml:space="preserve">http://slimages.macys.com/is/image/MCY/20141375 </v>
      </c>
    </row>
    <row r="132" spans="1:20" ht="15" customHeight="1" x14ac:dyDescent="0.25">
      <c r="A132" s="4" t="s">
        <v>2489</v>
      </c>
      <c r="B132" s="2" t="s">
        <v>2487</v>
      </c>
      <c r="C132" s="2" t="s">
        <v>2488</v>
      </c>
      <c r="D132" s="5" t="s">
        <v>2490</v>
      </c>
      <c r="E132" s="4" t="s">
        <v>2491</v>
      </c>
      <c r="F132" s="6">
        <v>14236745</v>
      </c>
      <c r="G132" s="3">
        <v>14236745</v>
      </c>
      <c r="H132" s="7">
        <v>733004952814</v>
      </c>
      <c r="I132" s="8" t="s">
        <v>1784</v>
      </c>
      <c r="J132" s="4">
        <v>1</v>
      </c>
      <c r="K132" s="9">
        <v>13.99</v>
      </c>
      <c r="L132" s="9">
        <v>13.99</v>
      </c>
      <c r="M132" s="4" t="s">
        <v>3456</v>
      </c>
      <c r="N132" s="4" t="s">
        <v>2505</v>
      </c>
      <c r="O132" s="4" t="s">
        <v>2601</v>
      </c>
      <c r="P132" s="4" t="s">
        <v>2503</v>
      </c>
      <c r="Q132" s="4" t="s">
        <v>2504</v>
      </c>
      <c r="R132" s="4"/>
      <c r="S132" s="4"/>
      <c r="T132" s="4" t="str">
        <f>HYPERLINK("http://slimages.macys.com/is/image/MCY/20142515 ")</f>
        <v xml:space="preserve">http://slimages.macys.com/is/image/MCY/20142515 </v>
      </c>
    </row>
    <row r="133" spans="1:20" ht="15" customHeight="1" x14ac:dyDescent="0.25">
      <c r="A133" s="4" t="s">
        <v>2489</v>
      </c>
      <c r="B133" s="2" t="s">
        <v>2487</v>
      </c>
      <c r="C133" s="2" t="s">
        <v>2488</v>
      </c>
      <c r="D133" s="5" t="s">
        <v>2490</v>
      </c>
      <c r="E133" s="4" t="s">
        <v>2491</v>
      </c>
      <c r="F133" s="6">
        <v>14236745</v>
      </c>
      <c r="G133" s="3">
        <v>14236745</v>
      </c>
      <c r="H133" s="7">
        <v>762120086240</v>
      </c>
      <c r="I133" s="8" t="s">
        <v>1362</v>
      </c>
      <c r="J133" s="4">
        <v>1</v>
      </c>
      <c r="K133" s="9">
        <v>7.99</v>
      </c>
      <c r="L133" s="9">
        <v>7.99</v>
      </c>
      <c r="M133" s="4" t="s">
        <v>2806</v>
      </c>
      <c r="N133" s="4" t="s">
        <v>2530</v>
      </c>
      <c r="O133" s="4" t="s">
        <v>2653</v>
      </c>
      <c r="P133" s="4" t="s">
        <v>2602</v>
      </c>
      <c r="Q133" s="4" t="s">
        <v>2528</v>
      </c>
      <c r="R133" s="4"/>
      <c r="S133" s="4"/>
      <c r="T133" s="4" t="str">
        <f>HYPERLINK("http://slimages.macys.com/is/image/MCY/1086506 ")</f>
        <v xml:space="preserve">http://slimages.macys.com/is/image/MCY/1086506 </v>
      </c>
    </row>
    <row r="134" spans="1:20" ht="15" customHeight="1" x14ac:dyDescent="0.25">
      <c r="A134" s="4" t="s">
        <v>2489</v>
      </c>
      <c r="B134" s="2" t="s">
        <v>2487</v>
      </c>
      <c r="C134" s="2" t="s">
        <v>2488</v>
      </c>
      <c r="D134" s="5" t="s">
        <v>2490</v>
      </c>
      <c r="E134" s="4" t="s">
        <v>2491</v>
      </c>
      <c r="F134" s="6">
        <v>14236745</v>
      </c>
      <c r="G134" s="3">
        <v>14236745</v>
      </c>
      <c r="H134" s="7">
        <v>762120087414</v>
      </c>
      <c r="I134" s="8" t="s">
        <v>1800</v>
      </c>
      <c r="J134" s="4">
        <v>1</v>
      </c>
      <c r="K134" s="9">
        <v>7.99</v>
      </c>
      <c r="L134" s="9">
        <v>7.99</v>
      </c>
      <c r="M134" s="4" t="s">
        <v>1801</v>
      </c>
      <c r="N134" s="4" t="s">
        <v>2501</v>
      </c>
      <c r="O134" s="4">
        <v>6</v>
      </c>
      <c r="P134" s="4" t="s">
        <v>2602</v>
      </c>
      <c r="Q134" s="4" t="s">
        <v>2528</v>
      </c>
      <c r="R134" s="4"/>
      <c r="S134" s="4"/>
      <c r="T134" s="4" t="str">
        <f>HYPERLINK("http://slimages.macys.com/is/image/MCY/20691899 ")</f>
        <v xml:space="preserve">http://slimages.macys.com/is/image/MCY/20691899 </v>
      </c>
    </row>
    <row r="135" spans="1:20" ht="15" customHeight="1" x14ac:dyDescent="0.25">
      <c r="A135" s="4" t="s">
        <v>2489</v>
      </c>
      <c r="B135" s="2" t="s">
        <v>2487</v>
      </c>
      <c r="C135" s="2" t="s">
        <v>2488</v>
      </c>
      <c r="D135" s="5" t="s">
        <v>2490</v>
      </c>
      <c r="E135" s="4" t="s">
        <v>2491</v>
      </c>
      <c r="F135" s="6">
        <v>14236745</v>
      </c>
      <c r="G135" s="3">
        <v>14236745</v>
      </c>
      <c r="H135" s="7">
        <v>762120085472</v>
      </c>
      <c r="I135" s="8" t="s">
        <v>1398</v>
      </c>
      <c r="J135" s="4">
        <v>1</v>
      </c>
      <c r="K135" s="9">
        <v>7.99</v>
      </c>
      <c r="L135" s="9">
        <v>7.99</v>
      </c>
      <c r="M135" s="4" t="s">
        <v>2929</v>
      </c>
      <c r="N135" s="4"/>
      <c r="O135" s="4" t="s">
        <v>2628</v>
      </c>
      <c r="P135" s="4" t="s">
        <v>2602</v>
      </c>
      <c r="Q135" s="4" t="s">
        <v>2528</v>
      </c>
      <c r="R135" s="4"/>
      <c r="S135" s="4"/>
      <c r="T135" s="4" t="str">
        <f>HYPERLINK("http://slimages.macys.com/is/image/MCY/20691813 ")</f>
        <v xml:space="preserve">http://slimages.macys.com/is/image/MCY/20691813 </v>
      </c>
    </row>
    <row r="136" spans="1:20" ht="15" customHeight="1" x14ac:dyDescent="0.25">
      <c r="A136" s="4" t="s">
        <v>2489</v>
      </c>
      <c r="B136" s="2" t="s">
        <v>2487</v>
      </c>
      <c r="C136" s="2" t="s">
        <v>2488</v>
      </c>
      <c r="D136" s="5" t="s">
        <v>2490</v>
      </c>
      <c r="E136" s="4" t="s">
        <v>2491</v>
      </c>
      <c r="F136" s="6">
        <v>14236745</v>
      </c>
      <c r="G136" s="3">
        <v>14236745</v>
      </c>
      <c r="H136" s="7">
        <v>762120085465</v>
      </c>
      <c r="I136" s="8" t="s">
        <v>2470</v>
      </c>
      <c r="J136" s="4">
        <v>2</v>
      </c>
      <c r="K136" s="9">
        <v>7.99</v>
      </c>
      <c r="L136" s="9">
        <v>15.98</v>
      </c>
      <c r="M136" s="4" t="s">
        <v>2929</v>
      </c>
      <c r="N136" s="4"/>
      <c r="O136" s="4" t="s">
        <v>2629</v>
      </c>
      <c r="P136" s="4" t="s">
        <v>2602</v>
      </c>
      <c r="Q136" s="4" t="s">
        <v>2528</v>
      </c>
      <c r="R136" s="4"/>
      <c r="S136" s="4"/>
      <c r="T136" s="4" t="str">
        <f>HYPERLINK("http://slimages.macys.com/is/image/MCY/20691813 ")</f>
        <v xml:space="preserve">http://slimages.macys.com/is/image/MCY/20691813 </v>
      </c>
    </row>
    <row r="137" spans="1:20" ht="15" customHeight="1" x14ac:dyDescent="0.25">
      <c r="A137" s="4" t="s">
        <v>2489</v>
      </c>
      <c r="B137" s="2" t="s">
        <v>2487</v>
      </c>
      <c r="C137" s="2" t="s">
        <v>2488</v>
      </c>
      <c r="D137" s="5" t="s">
        <v>2490</v>
      </c>
      <c r="E137" s="4" t="s">
        <v>2491</v>
      </c>
      <c r="F137" s="6">
        <v>14236745</v>
      </c>
      <c r="G137" s="3">
        <v>14236745</v>
      </c>
      <c r="H137" s="7">
        <v>762120023191</v>
      </c>
      <c r="I137" s="8" t="s">
        <v>2121</v>
      </c>
      <c r="J137" s="4">
        <v>1</v>
      </c>
      <c r="K137" s="9">
        <v>6.99</v>
      </c>
      <c r="L137" s="9">
        <v>6.99</v>
      </c>
      <c r="M137" s="4" t="s">
        <v>1905</v>
      </c>
      <c r="N137" s="4" t="s">
        <v>2518</v>
      </c>
      <c r="O137" s="4" t="s">
        <v>2559</v>
      </c>
      <c r="P137" s="4" t="s">
        <v>2503</v>
      </c>
      <c r="Q137" s="4" t="s">
        <v>2504</v>
      </c>
      <c r="R137" s="4"/>
      <c r="S137" s="4"/>
      <c r="T137" s="4" t="str">
        <f>HYPERLINK("http://slimages.macys.com/is/image/MCY/19977832 ")</f>
        <v xml:space="preserve">http://slimages.macys.com/is/image/MCY/19977832 </v>
      </c>
    </row>
    <row r="138" spans="1:20" ht="15" customHeight="1" x14ac:dyDescent="0.25">
      <c r="A138" s="4" t="s">
        <v>2489</v>
      </c>
      <c r="B138" s="2" t="s">
        <v>2487</v>
      </c>
      <c r="C138" s="2" t="s">
        <v>2488</v>
      </c>
      <c r="D138" s="5" t="s">
        <v>2490</v>
      </c>
      <c r="E138" s="4" t="s">
        <v>2491</v>
      </c>
      <c r="F138" s="6">
        <v>14236745</v>
      </c>
      <c r="G138" s="3">
        <v>14236745</v>
      </c>
      <c r="H138" s="7">
        <v>762120085359</v>
      </c>
      <c r="I138" s="8" t="s">
        <v>457</v>
      </c>
      <c r="J138" s="4">
        <v>1</v>
      </c>
      <c r="K138" s="9">
        <v>7.99</v>
      </c>
      <c r="L138" s="9">
        <v>7.99</v>
      </c>
      <c r="M138" s="4" t="s">
        <v>1560</v>
      </c>
      <c r="N138" s="4" t="s">
        <v>2530</v>
      </c>
      <c r="O138" s="4" t="s">
        <v>2650</v>
      </c>
      <c r="P138" s="4" t="s">
        <v>2602</v>
      </c>
      <c r="Q138" s="4" t="s">
        <v>2528</v>
      </c>
      <c r="R138" s="4"/>
      <c r="S138" s="4"/>
      <c r="T138" s="4" t="str">
        <f>HYPERLINK("http://slimages.macys.com/is/image/MCY/1122580 ")</f>
        <v xml:space="preserve">http://slimages.macys.com/is/image/MCY/1122580 </v>
      </c>
    </row>
    <row r="139" spans="1:20" ht="15" customHeight="1" x14ac:dyDescent="0.25">
      <c r="A139" s="4" t="s">
        <v>2489</v>
      </c>
      <c r="B139" s="2" t="s">
        <v>2487</v>
      </c>
      <c r="C139" s="2" t="s">
        <v>2488</v>
      </c>
      <c r="D139" s="5" t="s">
        <v>2490</v>
      </c>
      <c r="E139" s="4" t="s">
        <v>2491</v>
      </c>
      <c r="F139" s="6">
        <v>14236745</v>
      </c>
      <c r="G139" s="3">
        <v>14236745</v>
      </c>
      <c r="H139" s="7">
        <v>733004958472</v>
      </c>
      <c r="I139" s="8" t="s">
        <v>1797</v>
      </c>
      <c r="J139" s="4">
        <v>1</v>
      </c>
      <c r="K139" s="9">
        <v>19.989999999999998</v>
      </c>
      <c r="L139" s="9">
        <v>19.989999999999998</v>
      </c>
      <c r="M139" s="4" t="s">
        <v>1798</v>
      </c>
      <c r="N139" s="4" t="s">
        <v>2505</v>
      </c>
      <c r="O139" s="4" t="s">
        <v>2566</v>
      </c>
      <c r="P139" s="4" t="s">
        <v>2503</v>
      </c>
      <c r="Q139" s="4" t="s">
        <v>2504</v>
      </c>
      <c r="R139" s="4"/>
      <c r="S139" s="4"/>
      <c r="T139" s="4" t="str">
        <f>HYPERLINK("http://slimages.macys.com/is/image/MCY/20386058 ")</f>
        <v xml:space="preserve">http://slimages.macys.com/is/image/MCY/20386058 </v>
      </c>
    </row>
    <row r="140" spans="1:20" ht="15" customHeight="1" x14ac:dyDescent="0.25">
      <c r="A140" s="4" t="s">
        <v>2489</v>
      </c>
      <c r="B140" s="2" t="s">
        <v>2487</v>
      </c>
      <c r="C140" s="2" t="s">
        <v>2488</v>
      </c>
      <c r="D140" s="5" t="s">
        <v>2490</v>
      </c>
      <c r="E140" s="4" t="s">
        <v>2491</v>
      </c>
      <c r="F140" s="6">
        <v>14236745</v>
      </c>
      <c r="G140" s="3">
        <v>14236745</v>
      </c>
      <c r="H140" s="7">
        <v>733004086021</v>
      </c>
      <c r="I140" s="8" t="s">
        <v>2003</v>
      </c>
      <c r="J140" s="4">
        <v>1</v>
      </c>
      <c r="K140" s="9">
        <v>21.99</v>
      </c>
      <c r="L140" s="9">
        <v>21.99</v>
      </c>
      <c r="M140" s="4" t="s">
        <v>2004</v>
      </c>
      <c r="N140" s="4"/>
      <c r="O140" s="4" t="s">
        <v>2671</v>
      </c>
      <c r="P140" s="4" t="s">
        <v>2543</v>
      </c>
      <c r="Q140" s="4" t="s">
        <v>2528</v>
      </c>
      <c r="R140" s="4"/>
      <c r="S140" s="4"/>
      <c r="T140" s="4" t="str">
        <f>HYPERLINK("http://slimages.macys.com/is/image/MCY/19988445 ")</f>
        <v xml:space="preserve">http://slimages.macys.com/is/image/MCY/19988445 </v>
      </c>
    </row>
    <row r="141" spans="1:20" ht="15" customHeight="1" x14ac:dyDescent="0.25">
      <c r="A141" s="4" t="s">
        <v>2489</v>
      </c>
      <c r="B141" s="2" t="s">
        <v>2487</v>
      </c>
      <c r="C141" s="2" t="s">
        <v>2488</v>
      </c>
      <c r="D141" s="5" t="s">
        <v>2490</v>
      </c>
      <c r="E141" s="4" t="s">
        <v>2491</v>
      </c>
      <c r="F141" s="6">
        <v>14236745</v>
      </c>
      <c r="G141" s="3">
        <v>14236745</v>
      </c>
      <c r="H141" s="7">
        <v>762120263924</v>
      </c>
      <c r="I141" s="8" t="s">
        <v>1908</v>
      </c>
      <c r="J141" s="4">
        <v>2</v>
      </c>
      <c r="K141" s="9">
        <v>21.99</v>
      </c>
      <c r="L141" s="9">
        <v>43.98</v>
      </c>
      <c r="M141" s="4" t="s">
        <v>1909</v>
      </c>
      <c r="N141" s="4" t="s">
        <v>2501</v>
      </c>
      <c r="O141" s="4" t="s">
        <v>2555</v>
      </c>
      <c r="P141" s="4" t="s">
        <v>2543</v>
      </c>
      <c r="Q141" s="4" t="s">
        <v>2528</v>
      </c>
      <c r="R141" s="4"/>
      <c r="S141" s="4"/>
      <c r="T141" s="4" t="str">
        <f>HYPERLINK("http://slimages.macys.com/is/image/MCY/1111487 ")</f>
        <v xml:space="preserve">http://slimages.macys.com/is/image/MCY/1111487 </v>
      </c>
    </row>
    <row r="142" spans="1:20" ht="15" customHeight="1" x14ac:dyDescent="0.25">
      <c r="A142" s="4" t="s">
        <v>2489</v>
      </c>
      <c r="B142" s="2" t="s">
        <v>2487</v>
      </c>
      <c r="C142" s="2" t="s">
        <v>2488</v>
      </c>
      <c r="D142" s="5" t="s">
        <v>2490</v>
      </c>
      <c r="E142" s="4" t="s">
        <v>2491</v>
      </c>
      <c r="F142" s="6">
        <v>14236745</v>
      </c>
      <c r="G142" s="3">
        <v>14236745</v>
      </c>
      <c r="H142" s="7">
        <v>733004723094</v>
      </c>
      <c r="I142" s="8" t="s">
        <v>3229</v>
      </c>
      <c r="J142" s="4">
        <v>1</v>
      </c>
      <c r="K142" s="9">
        <v>25.99</v>
      </c>
      <c r="L142" s="9">
        <v>25.99</v>
      </c>
      <c r="M142" s="4" t="s">
        <v>3178</v>
      </c>
      <c r="N142" s="4" t="s">
        <v>2518</v>
      </c>
      <c r="O142" s="4" t="s">
        <v>2566</v>
      </c>
      <c r="P142" s="4" t="s">
        <v>2503</v>
      </c>
      <c r="Q142" s="4" t="s">
        <v>2504</v>
      </c>
      <c r="R142" s="4"/>
      <c r="S142" s="4"/>
      <c r="T142" s="4" t="str">
        <f>HYPERLINK("http://slimages.macys.com/is/image/MCY/1041651 ")</f>
        <v xml:space="preserve">http://slimages.macys.com/is/image/MCY/1041651 </v>
      </c>
    </row>
    <row r="143" spans="1:20" ht="15" customHeight="1" x14ac:dyDescent="0.25">
      <c r="A143" s="4" t="s">
        <v>2489</v>
      </c>
      <c r="B143" s="2" t="s">
        <v>2487</v>
      </c>
      <c r="C143" s="2" t="s">
        <v>2488</v>
      </c>
      <c r="D143" s="5" t="s">
        <v>2490</v>
      </c>
      <c r="E143" s="4" t="s">
        <v>2491</v>
      </c>
      <c r="F143" s="6">
        <v>14236745</v>
      </c>
      <c r="G143" s="3">
        <v>14236745</v>
      </c>
      <c r="H143" s="7">
        <v>733004722820</v>
      </c>
      <c r="I143" s="8" t="s">
        <v>2086</v>
      </c>
      <c r="J143" s="4">
        <v>1</v>
      </c>
      <c r="K143" s="9">
        <v>25.99</v>
      </c>
      <c r="L143" s="9">
        <v>25.99</v>
      </c>
      <c r="M143" s="4" t="s">
        <v>3193</v>
      </c>
      <c r="N143" s="4" t="s">
        <v>2530</v>
      </c>
      <c r="O143" s="4"/>
      <c r="P143" s="4" t="s">
        <v>2503</v>
      </c>
      <c r="Q143" s="4" t="s">
        <v>2504</v>
      </c>
      <c r="R143" s="4"/>
      <c r="S143" s="4"/>
      <c r="T143" s="4" t="str">
        <f>HYPERLINK("http://slimages.macys.com/is/image/MCY/19977902 ")</f>
        <v xml:space="preserve">http://slimages.macys.com/is/image/MCY/19977902 </v>
      </c>
    </row>
    <row r="144" spans="1:20" ht="15" customHeight="1" x14ac:dyDescent="0.25">
      <c r="A144" s="4" t="s">
        <v>2489</v>
      </c>
      <c r="B144" s="2" t="s">
        <v>2487</v>
      </c>
      <c r="C144" s="2" t="s">
        <v>2488</v>
      </c>
      <c r="D144" s="5" t="s">
        <v>2490</v>
      </c>
      <c r="E144" s="4" t="s">
        <v>2491</v>
      </c>
      <c r="F144" s="6">
        <v>14236745</v>
      </c>
      <c r="G144" s="3">
        <v>14236745</v>
      </c>
      <c r="H144" s="7">
        <v>733004722738</v>
      </c>
      <c r="I144" s="8" t="s">
        <v>1582</v>
      </c>
      <c r="J144" s="4">
        <v>3</v>
      </c>
      <c r="K144" s="9">
        <v>25.99</v>
      </c>
      <c r="L144" s="9">
        <v>77.97</v>
      </c>
      <c r="M144" s="4" t="s">
        <v>3193</v>
      </c>
      <c r="N144" s="4" t="s">
        <v>2530</v>
      </c>
      <c r="O144" s="4" t="s">
        <v>2502</v>
      </c>
      <c r="P144" s="4" t="s">
        <v>2503</v>
      </c>
      <c r="Q144" s="4" t="s">
        <v>2504</v>
      </c>
      <c r="R144" s="4"/>
      <c r="S144" s="4"/>
      <c r="T144" s="4" t="str">
        <f>HYPERLINK("http://slimages.macys.com/is/image/MCY/19977902 ")</f>
        <v xml:space="preserve">http://slimages.macys.com/is/image/MCY/19977902 </v>
      </c>
    </row>
    <row r="145" spans="1:20" ht="15" customHeight="1" x14ac:dyDescent="0.25">
      <c r="A145" s="4" t="s">
        <v>2489</v>
      </c>
      <c r="B145" s="2" t="s">
        <v>2487</v>
      </c>
      <c r="C145" s="2" t="s">
        <v>2488</v>
      </c>
      <c r="D145" s="5" t="s">
        <v>2490</v>
      </c>
      <c r="E145" s="4" t="s">
        <v>2491</v>
      </c>
      <c r="F145" s="6">
        <v>14236745</v>
      </c>
      <c r="G145" s="3">
        <v>14236745</v>
      </c>
      <c r="H145" s="7">
        <v>194135407602</v>
      </c>
      <c r="I145" s="8" t="s">
        <v>2854</v>
      </c>
      <c r="J145" s="4">
        <v>1</v>
      </c>
      <c r="K145" s="9">
        <v>25.07</v>
      </c>
      <c r="L145" s="9">
        <v>25.07</v>
      </c>
      <c r="M145" s="4" t="s">
        <v>2855</v>
      </c>
      <c r="N145" s="4"/>
      <c r="O145" s="4" t="s">
        <v>2493</v>
      </c>
      <c r="P145" s="4" t="s">
        <v>2494</v>
      </c>
      <c r="Q145" s="4" t="s">
        <v>2560</v>
      </c>
      <c r="R145" s="4"/>
      <c r="S145" s="4"/>
      <c r="T145" s="4" t="str">
        <f>HYPERLINK("http://slimages.macys.com/is/image/MCY/19836379 ")</f>
        <v xml:space="preserve">http://slimages.macys.com/is/image/MCY/19836379 </v>
      </c>
    </row>
    <row r="146" spans="1:20" ht="15" customHeight="1" x14ac:dyDescent="0.25">
      <c r="A146" s="4" t="s">
        <v>2489</v>
      </c>
      <c r="B146" s="2" t="s">
        <v>2487</v>
      </c>
      <c r="C146" s="2" t="s">
        <v>2488</v>
      </c>
      <c r="D146" s="5" t="s">
        <v>2490</v>
      </c>
      <c r="E146" s="4" t="s">
        <v>2491</v>
      </c>
      <c r="F146" s="6">
        <v>14236745</v>
      </c>
      <c r="G146" s="3">
        <v>14236745</v>
      </c>
      <c r="H146" s="7">
        <v>762120113229</v>
      </c>
      <c r="I146" s="8" t="s">
        <v>1039</v>
      </c>
      <c r="J146" s="4">
        <v>1</v>
      </c>
      <c r="K146" s="9">
        <v>6.99</v>
      </c>
      <c r="L146" s="9">
        <v>6.99</v>
      </c>
      <c r="M146" s="4" t="s">
        <v>1923</v>
      </c>
      <c r="N146" s="4" t="s">
        <v>2518</v>
      </c>
      <c r="O146" s="4" t="s">
        <v>2566</v>
      </c>
      <c r="P146" s="4" t="s">
        <v>2503</v>
      </c>
      <c r="Q146" s="4" t="s">
        <v>2504</v>
      </c>
      <c r="R146" s="4"/>
      <c r="S146" s="4"/>
      <c r="T146" s="4" t="str">
        <f>HYPERLINK("http://slimages.macys.com/is/image/MCY/19977730 ")</f>
        <v xml:space="preserve">http://slimages.macys.com/is/image/MCY/19977730 </v>
      </c>
    </row>
    <row r="147" spans="1:20" ht="15" customHeight="1" x14ac:dyDescent="0.25">
      <c r="A147" s="4" t="s">
        <v>2489</v>
      </c>
      <c r="B147" s="2" t="s">
        <v>2487</v>
      </c>
      <c r="C147" s="2" t="s">
        <v>2488</v>
      </c>
      <c r="D147" s="5" t="s">
        <v>2490</v>
      </c>
      <c r="E147" s="4" t="s">
        <v>2491</v>
      </c>
      <c r="F147" s="6">
        <v>14236745</v>
      </c>
      <c r="G147" s="3">
        <v>14236745</v>
      </c>
      <c r="H147" s="7">
        <v>194257620804</v>
      </c>
      <c r="I147" s="8" t="s">
        <v>1769</v>
      </c>
      <c r="J147" s="4">
        <v>1</v>
      </c>
      <c r="K147" s="9">
        <v>17.989999999999998</v>
      </c>
      <c r="L147" s="9">
        <v>17.989999999999998</v>
      </c>
      <c r="M147" s="4" t="s">
        <v>3147</v>
      </c>
      <c r="N147" s="4" t="s">
        <v>2497</v>
      </c>
      <c r="O147" s="4" t="s">
        <v>2519</v>
      </c>
      <c r="P147" s="4" t="s">
        <v>2619</v>
      </c>
      <c r="Q147" s="4" t="s">
        <v>2500</v>
      </c>
      <c r="R147" s="4"/>
      <c r="S147" s="4"/>
      <c r="T147" s="4" t="str">
        <f>HYPERLINK("http://slimages.macys.com/is/image/MCY/19933283 ")</f>
        <v xml:space="preserve">http://slimages.macys.com/is/image/MCY/19933283 </v>
      </c>
    </row>
    <row r="148" spans="1:20" ht="15" customHeight="1" x14ac:dyDescent="0.25">
      <c r="A148" s="4" t="s">
        <v>2489</v>
      </c>
      <c r="B148" s="2" t="s">
        <v>2487</v>
      </c>
      <c r="C148" s="2" t="s">
        <v>2488</v>
      </c>
      <c r="D148" s="5" t="s">
        <v>2490</v>
      </c>
      <c r="E148" s="4" t="s">
        <v>2491</v>
      </c>
      <c r="F148" s="6">
        <v>14236745</v>
      </c>
      <c r="G148" s="3">
        <v>14236745</v>
      </c>
      <c r="H148" s="7">
        <v>733004780912</v>
      </c>
      <c r="I148" s="8" t="s">
        <v>3213</v>
      </c>
      <c r="J148" s="4">
        <v>1</v>
      </c>
      <c r="K148" s="9">
        <v>11.99</v>
      </c>
      <c r="L148" s="9">
        <v>11.99</v>
      </c>
      <c r="M148" s="4" t="s">
        <v>3083</v>
      </c>
      <c r="N148" s="4" t="s">
        <v>2530</v>
      </c>
      <c r="O148" s="4" t="s">
        <v>2650</v>
      </c>
      <c r="P148" s="4" t="s">
        <v>2602</v>
      </c>
      <c r="Q148" s="4" t="s">
        <v>2528</v>
      </c>
      <c r="R148" s="4"/>
      <c r="S148" s="4"/>
      <c r="T148" s="4" t="str">
        <f>HYPERLINK("http://slimages.macys.com/is/image/MCY/20450174 ")</f>
        <v xml:space="preserve">http://slimages.macys.com/is/image/MCY/20450174 </v>
      </c>
    </row>
    <row r="149" spans="1:20" ht="15" customHeight="1" x14ac:dyDescent="0.25">
      <c r="A149" s="4" t="s">
        <v>2489</v>
      </c>
      <c r="B149" s="2" t="s">
        <v>2487</v>
      </c>
      <c r="C149" s="2" t="s">
        <v>2488</v>
      </c>
      <c r="D149" s="5" t="s">
        <v>2490</v>
      </c>
      <c r="E149" s="4" t="s">
        <v>2491</v>
      </c>
      <c r="F149" s="6">
        <v>14236745</v>
      </c>
      <c r="G149" s="3">
        <v>14236745</v>
      </c>
      <c r="H149" s="7">
        <v>733003581121</v>
      </c>
      <c r="I149" s="8" t="s">
        <v>3189</v>
      </c>
      <c r="J149" s="4">
        <v>1</v>
      </c>
      <c r="K149" s="9">
        <v>21.99</v>
      </c>
      <c r="L149" s="9">
        <v>21.99</v>
      </c>
      <c r="M149" s="4" t="s">
        <v>3190</v>
      </c>
      <c r="N149" s="4" t="s">
        <v>2642</v>
      </c>
      <c r="O149" s="4"/>
      <c r="P149" s="4" t="s">
        <v>2503</v>
      </c>
      <c r="Q149" s="4" t="s">
        <v>2504</v>
      </c>
      <c r="R149" s="4"/>
      <c r="S149" s="4"/>
      <c r="T149" s="4" t="str">
        <f>HYPERLINK("http://slimages.macys.com/is/image/MCY/19588814 ")</f>
        <v xml:space="preserve">http://slimages.macys.com/is/image/MCY/19588814 </v>
      </c>
    </row>
    <row r="150" spans="1:20" ht="15" customHeight="1" x14ac:dyDescent="0.25">
      <c r="A150" s="4" t="s">
        <v>2489</v>
      </c>
      <c r="B150" s="2" t="s">
        <v>2487</v>
      </c>
      <c r="C150" s="2" t="s">
        <v>2488</v>
      </c>
      <c r="D150" s="5" t="s">
        <v>2490</v>
      </c>
      <c r="E150" s="4" t="s">
        <v>2491</v>
      </c>
      <c r="F150" s="6">
        <v>14236745</v>
      </c>
      <c r="G150" s="3">
        <v>14236745</v>
      </c>
      <c r="H150" s="7">
        <v>733004780134</v>
      </c>
      <c r="I150" s="8" t="s">
        <v>3159</v>
      </c>
      <c r="J150" s="4">
        <v>1</v>
      </c>
      <c r="K150" s="9">
        <v>7.99</v>
      </c>
      <c r="L150" s="9">
        <v>7.99</v>
      </c>
      <c r="M150" s="4" t="s">
        <v>3126</v>
      </c>
      <c r="N150" s="4" t="s">
        <v>2567</v>
      </c>
      <c r="O150" s="4" t="s">
        <v>2650</v>
      </c>
      <c r="P150" s="4" t="s">
        <v>2602</v>
      </c>
      <c r="Q150" s="4" t="s">
        <v>2528</v>
      </c>
      <c r="R150" s="4"/>
      <c r="S150" s="4"/>
      <c r="T150" s="4" t="str">
        <f>HYPERLINK("http://slimages.macys.com/is/image/MCY/20450165 ")</f>
        <v xml:space="preserve">http://slimages.macys.com/is/image/MCY/20450165 </v>
      </c>
    </row>
    <row r="151" spans="1:20" ht="15" customHeight="1" x14ac:dyDescent="0.25">
      <c r="A151" s="4" t="s">
        <v>2489</v>
      </c>
      <c r="B151" s="2" t="s">
        <v>2487</v>
      </c>
      <c r="C151" s="2" t="s">
        <v>2488</v>
      </c>
      <c r="D151" s="5" t="s">
        <v>2490</v>
      </c>
      <c r="E151" s="4" t="s">
        <v>2491</v>
      </c>
      <c r="F151" s="6">
        <v>14236745</v>
      </c>
      <c r="G151" s="3">
        <v>14236745</v>
      </c>
      <c r="H151" s="7">
        <v>733004103049</v>
      </c>
      <c r="I151" s="8" t="s">
        <v>2078</v>
      </c>
      <c r="J151" s="4">
        <v>1</v>
      </c>
      <c r="K151" s="9">
        <v>22.99</v>
      </c>
      <c r="L151" s="9">
        <v>22.99</v>
      </c>
      <c r="M151" s="4" t="s">
        <v>2049</v>
      </c>
      <c r="N151" s="4" t="s">
        <v>2523</v>
      </c>
      <c r="O151" s="4" t="s">
        <v>2671</v>
      </c>
      <c r="P151" s="4" t="s">
        <v>2543</v>
      </c>
      <c r="Q151" s="4" t="s">
        <v>2528</v>
      </c>
      <c r="R151" s="4"/>
      <c r="S151" s="4"/>
      <c r="T151" s="4" t="str">
        <f>HYPERLINK("http://slimages.macys.com/is/image/MCY/20084026 ")</f>
        <v xml:space="preserve">http://slimages.macys.com/is/image/MCY/20084026 </v>
      </c>
    </row>
    <row r="152" spans="1:20" ht="15" customHeight="1" x14ac:dyDescent="0.25">
      <c r="A152" s="4" t="s">
        <v>2489</v>
      </c>
      <c r="B152" s="2" t="s">
        <v>2487</v>
      </c>
      <c r="C152" s="2" t="s">
        <v>2488</v>
      </c>
      <c r="D152" s="5" t="s">
        <v>2490</v>
      </c>
      <c r="E152" s="4" t="s">
        <v>2491</v>
      </c>
      <c r="F152" s="6">
        <v>14236745</v>
      </c>
      <c r="G152" s="3">
        <v>14236745</v>
      </c>
      <c r="H152" s="7">
        <v>733004794971</v>
      </c>
      <c r="I152" s="8" t="s">
        <v>1040</v>
      </c>
      <c r="J152" s="4">
        <v>1</v>
      </c>
      <c r="K152" s="9">
        <v>13.99</v>
      </c>
      <c r="L152" s="9">
        <v>13.99</v>
      </c>
      <c r="M152" s="4" t="s">
        <v>2066</v>
      </c>
      <c r="N152" s="4" t="s">
        <v>2514</v>
      </c>
      <c r="O152" s="4" t="s">
        <v>2671</v>
      </c>
      <c r="P152" s="4" t="s">
        <v>2543</v>
      </c>
      <c r="Q152" s="4" t="s">
        <v>2528</v>
      </c>
      <c r="R152" s="4"/>
      <c r="S152" s="4"/>
      <c r="T152" s="4" t="str">
        <f>HYPERLINK("http://slimages.macys.com/is/image/MCY/20440843 ")</f>
        <v xml:space="preserve">http://slimages.macys.com/is/image/MCY/20440843 </v>
      </c>
    </row>
    <row r="153" spans="1:20" ht="15" customHeight="1" x14ac:dyDescent="0.25">
      <c r="A153" s="4" t="s">
        <v>2489</v>
      </c>
      <c r="B153" s="2" t="s">
        <v>2487</v>
      </c>
      <c r="C153" s="2" t="s">
        <v>2488</v>
      </c>
      <c r="D153" s="5" t="s">
        <v>2490</v>
      </c>
      <c r="E153" s="4" t="s">
        <v>2491</v>
      </c>
      <c r="F153" s="6">
        <v>14236745</v>
      </c>
      <c r="G153" s="3">
        <v>14236745</v>
      </c>
      <c r="H153" s="7">
        <v>733004752032</v>
      </c>
      <c r="I153" s="8" t="s">
        <v>2107</v>
      </c>
      <c r="J153" s="4">
        <v>1</v>
      </c>
      <c r="K153" s="9">
        <v>13.99</v>
      </c>
      <c r="L153" s="9">
        <v>13.99</v>
      </c>
      <c r="M153" s="4" t="s">
        <v>1796</v>
      </c>
      <c r="N153" s="4" t="s">
        <v>2523</v>
      </c>
      <c r="O153" s="4" t="s">
        <v>2498</v>
      </c>
      <c r="P153" s="4" t="s">
        <v>2543</v>
      </c>
      <c r="Q153" s="4" t="s">
        <v>2528</v>
      </c>
      <c r="R153" s="4"/>
      <c r="S153" s="4"/>
      <c r="T153" s="4" t="str">
        <f>HYPERLINK("http://slimages.macys.com/is/image/MCY/20440815 ")</f>
        <v xml:space="preserve">http://slimages.macys.com/is/image/MCY/20440815 </v>
      </c>
    </row>
    <row r="154" spans="1:20" ht="15" customHeight="1" x14ac:dyDescent="0.25">
      <c r="A154" s="4" t="s">
        <v>2489</v>
      </c>
      <c r="B154" s="2" t="s">
        <v>2487</v>
      </c>
      <c r="C154" s="2" t="s">
        <v>2488</v>
      </c>
      <c r="D154" s="5" t="s">
        <v>2490</v>
      </c>
      <c r="E154" s="4" t="s">
        <v>2491</v>
      </c>
      <c r="F154" s="6">
        <v>14236745</v>
      </c>
      <c r="G154" s="3">
        <v>14236745</v>
      </c>
      <c r="H154" s="7">
        <v>762120263917</v>
      </c>
      <c r="I154" s="8" t="s">
        <v>1041</v>
      </c>
      <c r="J154" s="4">
        <v>1</v>
      </c>
      <c r="K154" s="9">
        <v>21.99</v>
      </c>
      <c r="L154" s="9">
        <v>21.99</v>
      </c>
      <c r="M154" s="4" t="s">
        <v>1909</v>
      </c>
      <c r="N154" s="4" t="s">
        <v>2501</v>
      </c>
      <c r="O154" s="4" t="s">
        <v>2519</v>
      </c>
      <c r="P154" s="4" t="s">
        <v>2543</v>
      </c>
      <c r="Q154" s="4" t="s">
        <v>2528</v>
      </c>
      <c r="R154" s="4"/>
      <c r="S154" s="4"/>
      <c r="T154" s="4" t="str">
        <f>HYPERLINK("http://slimages.macys.com/is/image/MCY/1111487 ")</f>
        <v xml:space="preserve">http://slimages.macys.com/is/image/MCY/1111487 </v>
      </c>
    </row>
    <row r="155" spans="1:20" ht="15" customHeight="1" x14ac:dyDescent="0.25">
      <c r="A155" s="4" t="s">
        <v>2489</v>
      </c>
      <c r="B155" s="2" t="s">
        <v>2487</v>
      </c>
      <c r="C155" s="2" t="s">
        <v>2488</v>
      </c>
      <c r="D155" s="5" t="s">
        <v>2490</v>
      </c>
      <c r="E155" s="4" t="s">
        <v>2491</v>
      </c>
      <c r="F155" s="6">
        <v>14236745</v>
      </c>
      <c r="G155" s="3">
        <v>14236745</v>
      </c>
      <c r="H155" s="7">
        <v>733004729683</v>
      </c>
      <c r="I155" s="8" t="s">
        <v>1042</v>
      </c>
      <c r="J155" s="4">
        <v>1</v>
      </c>
      <c r="K155" s="9">
        <v>23.99</v>
      </c>
      <c r="L155" s="9">
        <v>23.99</v>
      </c>
      <c r="M155" s="4" t="s">
        <v>2085</v>
      </c>
      <c r="N155" s="4" t="s">
        <v>2505</v>
      </c>
      <c r="O155" s="4" t="s">
        <v>2532</v>
      </c>
      <c r="P155" s="4" t="s">
        <v>2520</v>
      </c>
      <c r="Q155" s="4" t="s">
        <v>2521</v>
      </c>
      <c r="R155" s="4"/>
      <c r="S155" s="4"/>
      <c r="T155" s="4" t="str">
        <f>HYPERLINK("http://slimages.macys.com/is/image/MCY/20433729 ")</f>
        <v xml:space="preserve">http://slimages.macys.com/is/image/MCY/20433729 </v>
      </c>
    </row>
    <row r="156" spans="1:20" ht="15" customHeight="1" x14ac:dyDescent="0.25">
      <c r="A156" s="4" t="s">
        <v>2489</v>
      </c>
      <c r="B156" s="2" t="s">
        <v>2487</v>
      </c>
      <c r="C156" s="2" t="s">
        <v>2488</v>
      </c>
      <c r="D156" s="5" t="s">
        <v>2490</v>
      </c>
      <c r="E156" s="4" t="s">
        <v>2491</v>
      </c>
      <c r="F156" s="6">
        <v>14236745</v>
      </c>
      <c r="G156" s="3">
        <v>14236745</v>
      </c>
      <c r="H156" s="7">
        <v>733004729669</v>
      </c>
      <c r="I156" s="8" t="s">
        <v>1559</v>
      </c>
      <c r="J156" s="4">
        <v>1</v>
      </c>
      <c r="K156" s="9">
        <v>23.99</v>
      </c>
      <c r="L156" s="9">
        <v>23.99</v>
      </c>
      <c r="M156" s="4" t="s">
        <v>2085</v>
      </c>
      <c r="N156" s="4" t="s">
        <v>2505</v>
      </c>
      <c r="O156" s="4" t="s">
        <v>2555</v>
      </c>
      <c r="P156" s="4" t="s">
        <v>2520</v>
      </c>
      <c r="Q156" s="4" t="s">
        <v>2521</v>
      </c>
      <c r="R156" s="4"/>
      <c r="S156" s="4"/>
      <c r="T156" s="4" t="str">
        <f>HYPERLINK("http://slimages.macys.com/is/image/MCY/20433729 ")</f>
        <v xml:space="preserve">http://slimages.macys.com/is/image/MCY/20433729 </v>
      </c>
    </row>
    <row r="157" spans="1:20" ht="15" customHeight="1" x14ac:dyDescent="0.25">
      <c r="A157" s="4" t="s">
        <v>2489</v>
      </c>
      <c r="B157" s="2" t="s">
        <v>2487</v>
      </c>
      <c r="C157" s="2" t="s">
        <v>2488</v>
      </c>
      <c r="D157" s="5" t="s">
        <v>2490</v>
      </c>
      <c r="E157" s="4" t="s">
        <v>2491</v>
      </c>
      <c r="F157" s="6">
        <v>14236745</v>
      </c>
      <c r="G157" s="3">
        <v>14236745</v>
      </c>
      <c r="H157" s="7">
        <v>733004779091</v>
      </c>
      <c r="I157" s="8" t="s">
        <v>3292</v>
      </c>
      <c r="J157" s="4">
        <v>1</v>
      </c>
      <c r="K157" s="9">
        <v>7.99</v>
      </c>
      <c r="L157" s="9">
        <v>7.99</v>
      </c>
      <c r="M157" s="4" t="s">
        <v>2719</v>
      </c>
      <c r="N157" s="4" t="s">
        <v>2565</v>
      </c>
      <c r="O157" s="4" t="s">
        <v>2650</v>
      </c>
      <c r="P157" s="4" t="s">
        <v>2602</v>
      </c>
      <c r="Q157" s="4" t="s">
        <v>2528</v>
      </c>
      <c r="R157" s="4"/>
      <c r="S157" s="4"/>
      <c r="T157" s="4" t="str">
        <f>HYPERLINK("http://slimages.macys.com/is/image/MCY/20450156 ")</f>
        <v xml:space="preserve">http://slimages.macys.com/is/image/MCY/20450156 </v>
      </c>
    </row>
    <row r="158" spans="1:20" ht="15" customHeight="1" x14ac:dyDescent="0.25">
      <c r="A158" s="4" t="s">
        <v>2489</v>
      </c>
      <c r="B158" s="2" t="s">
        <v>2487</v>
      </c>
      <c r="C158" s="2" t="s">
        <v>2488</v>
      </c>
      <c r="D158" s="5" t="s">
        <v>2490</v>
      </c>
      <c r="E158" s="4" t="s">
        <v>2491</v>
      </c>
      <c r="F158" s="6">
        <v>14236745</v>
      </c>
      <c r="G158" s="3">
        <v>14236745</v>
      </c>
      <c r="H158" s="7">
        <v>733004778995</v>
      </c>
      <c r="I158" s="8" t="s">
        <v>952</v>
      </c>
      <c r="J158" s="4">
        <v>1</v>
      </c>
      <c r="K158" s="9">
        <v>7.99</v>
      </c>
      <c r="L158" s="9">
        <v>7.99</v>
      </c>
      <c r="M158" s="4" t="s">
        <v>1592</v>
      </c>
      <c r="N158" s="4" t="s">
        <v>2501</v>
      </c>
      <c r="O158" s="4" t="s">
        <v>2628</v>
      </c>
      <c r="P158" s="4" t="s">
        <v>2602</v>
      </c>
      <c r="Q158" s="4" t="s">
        <v>2528</v>
      </c>
      <c r="R158" s="4"/>
      <c r="S158" s="4"/>
      <c r="T158" s="4" t="str">
        <f>HYPERLINK("http://slimages.macys.com/is/image/MCY/20450140 ")</f>
        <v xml:space="preserve">http://slimages.macys.com/is/image/MCY/20450140 </v>
      </c>
    </row>
    <row r="159" spans="1:20" ht="15" customHeight="1" x14ac:dyDescent="0.25">
      <c r="A159" s="4" t="s">
        <v>2489</v>
      </c>
      <c r="B159" s="2" t="s">
        <v>2487</v>
      </c>
      <c r="C159" s="2" t="s">
        <v>2488</v>
      </c>
      <c r="D159" s="5" t="s">
        <v>2490</v>
      </c>
      <c r="E159" s="4" t="s">
        <v>2491</v>
      </c>
      <c r="F159" s="6">
        <v>14236745</v>
      </c>
      <c r="G159" s="3">
        <v>14236745</v>
      </c>
      <c r="H159" s="7">
        <v>194257525536</v>
      </c>
      <c r="I159" s="8" t="s">
        <v>1043</v>
      </c>
      <c r="J159" s="4">
        <v>1</v>
      </c>
      <c r="K159" s="9">
        <v>12.99</v>
      </c>
      <c r="L159" s="9">
        <v>12.99</v>
      </c>
      <c r="M159" s="4" t="s">
        <v>1610</v>
      </c>
      <c r="N159" s="4" t="s">
        <v>2531</v>
      </c>
      <c r="O159" s="4" t="s">
        <v>2671</v>
      </c>
      <c r="P159" s="4" t="s">
        <v>2619</v>
      </c>
      <c r="Q159" s="4" t="s">
        <v>2500</v>
      </c>
      <c r="R159" s="4"/>
      <c r="S159" s="4"/>
      <c r="T159" s="4" t="str">
        <f>HYPERLINK("http://slimages.macys.com/is/image/MCY/19835140 ")</f>
        <v xml:space="preserve">http://slimages.macys.com/is/image/MCY/19835140 </v>
      </c>
    </row>
    <row r="160" spans="1:20" ht="15" customHeight="1" x14ac:dyDescent="0.25">
      <c r="A160" s="4" t="s">
        <v>2489</v>
      </c>
      <c r="B160" s="2" t="s">
        <v>2487</v>
      </c>
      <c r="C160" s="2" t="s">
        <v>2488</v>
      </c>
      <c r="D160" s="5" t="s">
        <v>2490</v>
      </c>
      <c r="E160" s="4" t="s">
        <v>2491</v>
      </c>
      <c r="F160" s="6">
        <v>14236745</v>
      </c>
      <c r="G160" s="3">
        <v>14236745</v>
      </c>
      <c r="H160" s="7">
        <v>762120689304</v>
      </c>
      <c r="I160" s="8" t="s">
        <v>2359</v>
      </c>
      <c r="J160" s="4">
        <v>5</v>
      </c>
      <c r="K160" s="9">
        <v>16.989999999999998</v>
      </c>
      <c r="L160" s="9">
        <v>84.95</v>
      </c>
      <c r="M160" s="4" t="s">
        <v>3031</v>
      </c>
      <c r="N160" s="4" t="s">
        <v>2518</v>
      </c>
      <c r="O160" s="4" t="s">
        <v>2519</v>
      </c>
      <c r="P160" s="4" t="s">
        <v>2515</v>
      </c>
      <c r="Q160" s="4" t="s">
        <v>2672</v>
      </c>
      <c r="R160" s="4"/>
      <c r="S160" s="4"/>
      <c r="T160" s="4" t="str">
        <f>HYPERLINK("http://slimages.macys.com/is/image/MCY/20549489 ")</f>
        <v xml:space="preserve">http://slimages.macys.com/is/image/MCY/20549489 </v>
      </c>
    </row>
    <row r="161" spans="1:20" ht="15" customHeight="1" x14ac:dyDescent="0.25">
      <c r="A161" s="4" t="s">
        <v>2489</v>
      </c>
      <c r="B161" s="2" t="s">
        <v>2487</v>
      </c>
      <c r="C161" s="2" t="s">
        <v>2488</v>
      </c>
      <c r="D161" s="5" t="s">
        <v>2490</v>
      </c>
      <c r="E161" s="4" t="s">
        <v>2491</v>
      </c>
      <c r="F161" s="6">
        <v>14236745</v>
      </c>
      <c r="G161" s="3">
        <v>14236745</v>
      </c>
      <c r="H161" s="7">
        <v>194870434154</v>
      </c>
      <c r="I161" s="8" t="s">
        <v>2922</v>
      </c>
      <c r="J161" s="4">
        <v>1</v>
      </c>
      <c r="K161" s="9">
        <v>17.989999999999998</v>
      </c>
      <c r="L161" s="9">
        <v>17.989999999999998</v>
      </c>
      <c r="M161" s="4" t="s">
        <v>2789</v>
      </c>
      <c r="N161" s="4" t="s">
        <v>2505</v>
      </c>
      <c r="O161" s="4" t="s">
        <v>2498</v>
      </c>
      <c r="P161" s="4" t="s">
        <v>2619</v>
      </c>
      <c r="Q161" s="4" t="s">
        <v>2681</v>
      </c>
      <c r="R161" s="4"/>
      <c r="S161" s="4"/>
      <c r="T161" s="4" t="str">
        <f>HYPERLINK("http://slimages.macys.com/is/image/MCY/19589472 ")</f>
        <v xml:space="preserve">http://slimages.macys.com/is/image/MCY/19589472 </v>
      </c>
    </row>
    <row r="162" spans="1:20" ht="15" customHeight="1" x14ac:dyDescent="0.25">
      <c r="A162" s="4" t="s">
        <v>2489</v>
      </c>
      <c r="B162" s="2" t="s">
        <v>2487</v>
      </c>
      <c r="C162" s="2" t="s">
        <v>2488</v>
      </c>
      <c r="D162" s="5" t="s">
        <v>2490</v>
      </c>
      <c r="E162" s="4" t="s">
        <v>2491</v>
      </c>
      <c r="F162" s="6">
        <v>14236745</v>
      </c>
      <c r="G162" s="3">
        <v>14236745</v>
      </c>
      <c r="H162" s="7">
        <v>733004751905</v>
      </c>
      <c r="I162" s="8" t="s">
        <v>2082</v>
      </c>
      <c r="J162" s="4">
        <v>1</v>
      </c>
      <c r="K162" s="9">
        <v>13.99</v>
      </c>
      <c r="L162" s="9">
        <v>13.99</v>
      </c>
      <c r="M162" s="4" t="s">
        <v>1796</v>
      </c>
      <c r="N162" s="4" t="s">
        <v>2523</v>
      </c>
      <c r="O162" s="4" t="s">
        <v>2519</v>
      </c>
      <c r="P162" s="4" t="s">
        <v>2543</v>
      </c>
      <c r="Q162" s="4" t="s">
        <v>2528</v>
      </c>
      <c r="R162" s="4"/>
      <c r="S162" s="4"/>
      <c r="T162" s="4" t="str">
        <f>HYPERLINK("http://slimages.macys.com/is/image/MCY/20440815 ")</f>
        <v xml:space="preserve">http://slimages.macys.com/is/image/MCY/20440815 </v>
      </c>
    </row>
    <row r="163" spans="1:20" ht="15" customHeight="1" x14ac:dyDescent="0.25">
      <c r="A163" s="4" t="s">
        <v>2489</v>
      </c>
      <c r="B163" s="2" t="s">
        <v>2487</v>
      </c>
      <c r="C163" s="2" t="s">
        <v>2488</v>
      </c>
      <c r="D163" s="5" t="s">
        <v>2490</v>
      </c>
      <c r="E163" s="4" t="s">
        <v>2491</v>
      </c>
      <c r="F163" s="6">
        <v>14236745</v>
      </c>
      <c r="G163" s="3">
        <v>14236745</v>
      </c>
      <c r="H163" s="7">
        <v>733004038501</v>
      </c>
      <c r="I163" s="8" t="s">
        <v>1044</v>
      </c>
      <c r="J163" s="4">
        <v>1</v>
      </c>
      <c r="K163" s="9">
        <v>7.99</v>
      </c>
      <c r="L163" s="9">
        <v>7.99</v>
      </c>
      <c r="M163" s="4" t="s">
        <v>3145</v>
      </c>
      <c r="N163" s="4" t="s">
        <v>2497</v>
      </c>
      <c r="O163" s="4" t="s">
        <v>2653</v>
      </c>
      <c r="P163" s="4" t="s">
        <v>2602</v>
      </c>
      <c r="Q163" s="4" t="s">
        <v>2528</v>
      </c>
      <c r="R163" s="4"/>
      <c r="S163" s="4"/>
      <c r="T163" s="4" t="str">
        <f>HYPERLINK("http://slimages.macys.com/is/image/MCY/19072848 ")</f>
        <v xml:space="preserve">http://slimages.macys.com/is/image/MCY/19072848 </v>
      </c>
    </row>
    <row r="164" spans="1:20" ht="15" customHeight="1" x14ac:dyDescent="0.25">
      <c r="A164" s="4" t="s">
        <v>2489</v>
      </c>
      <c r="B164" s="2" t="s">
        <v>2487</v>
      </c>
      <c r="C164" s="2" t="s">
        <v>2488</v>
      </c>
      <c r="D164" s="5" t="s">
        <v>2490</v>
      </c>
      <c r="E164" s="4" t="s">
        <v>2491</v>
      </c>
      <c r="F164" s="6">
        <v>14236745</v>
      </c>
      <c r="G164" s="3">
        <v>14236745</v>
      </c>
      <c r="H164" s="7">
        <v>733003581183</v>
      </c>
      <c r="I164" s="8" t="s">
        <v>1618</v>
      </c>
      <c r="J164" s="4">
        <v>1</v>
      </c>
      <c r="K164" s="9">
        <v>11.99</v>
      </c>
      <c r="L164" s="9">
        <v>11.99</v>
      </c>
      <c r="M164" s="4" t="s">
        <v>3445</v>
      </c>
      <c r="N164" s="4" t="s">
        <v>2531</v>
      </c>
      <c r="O164" s="4"/>
      <c r="P164" s="4" t="s">
        <v>2503</v>
      </c>
      <c r="Q164" s="4" t="s">
        <v>2504</v>
      </c>
      <c r="R164" s="4"/>
      <c r="S164" s="4"/>
      <c r="T164" s="4" t="str">
        <f>HYPERLINK("http://slimages.macys.com/is/image/MCY/19589137 ")</f>
        <v xml:space="preserve">http://slimages.macys.com/is/image/MCY/19589137 </v>
      </c>
    </row>
    <row r="165" spans="1:20" ht="15" customHeight="1" x14ac:dyDescent="0.25">
      <c r="A165" s="4" t="s">
        <v>2489</v>
      </c>
      <c r="B165" s="2" t="s">
        <v>2487</v>
      </c>
      <c r="C165" s="2" t="s">
        <v>2488</v>
      </c>
      <c r="D165" s="5" t="s">
        <v>2490</v>
      </c>
      <c r="E165" s="4" t="s">
        <v>2491</v>
      </c>
      <c r="F165" s="6">
        <v>14236745</v>
      </c>
      <c r="G165" s="3">
        <v>14236745</v>
      </c>
      <c r="H165" s="7">
        <v>194931228548</v>
      </c>
      <c r="I165" s="8" t="s">
        <v>1045</v>
      </c>
      <c r="J165" s="4">
        <v>1</v>
      </c>
      <c r="K165" s="9">
        <v>34.5</v>
      </c>
      <c r="L165" s="9">
        <v>34.5</v>
      </c>
      <c r="M165" s="4" t="s">
        <v>1046</v>
      </c>
      <c r="N165" s="4" t="s">
        <v>2505</v>
      </c>
      <c r="O165" s="4">
        <v>4</v>
      </c>
      <c r="P165" s="4" t="s">
        <v>2622</v>
      </c>
      <c r="Q165" s="4" t="s">
        <v>3089</v>
      </c>
      <c r="R165" s="4"/>
      <c r="S165" s="4"/>
      <c r="T165" s="4" t="str">
        <f>HYPERLINK("http://slimages.macys.com/is/image/MCY/20123686 ")</f>
        <v xml:space="preserve">http://slimages.macys.com/is/image/MCY/20123686 </v>
      </c>
    </row>
    <row r="166" spans="1:20" ht="15" customHeight="1" x14ac:dyDescent="0.25">
      <c r="A166" s="4" t="s">
        <v>2489</v>
      </c>
      <c r="B166" s="2" t="s">
        <v>2487</v>
      </c>
      <c r="C166" s="2" t="s">
        <v>2488</v>
      </c>
      <c r="D166" s="5" t="s">
        <v>2490</v>
      </c>
      <c r="E166" s="4" t="s">
        <v>2491</v>
      </c>
      <c r="F166" s="6">
        <v>14236745</v>
      </c>
      <c r="G166" s="3">
        <v>14236745</v>
      </c>
      <c r="H166" s="7">
        <v>733004780080</v>
      </c>
      <c r="I166" s="8" t="s">
        <v>2071</v>
      </c>
      <c r="J166" s="4">
        <v>1</v>
      </c>
      <c r="K166" s="9">
        <v>7.99</v>
      </c>
      <c r="L166" s="9">
        <v>7.99</v>
      </c>
      <c r="M166" s="4" t="s">
        <v>2692</v>
      </c>
      <c r="N166" s="4" t="s">
        <v>2501</v>
      </c>
      <c r="O166" s="4" t="s">
        <v>2629</v>
      </c>
      <c r="P166" s="4" t="s">
        <v>2602</v>
      </c>
      <c r="Q166" s="4" t="s">
        <v>2528</v>
      </c>
      <c r="R166" s="4"/>
      <c r="S166" s="4"/>
      <c r="T166" s="4" t="str">
        <f>HYPERLINK("http://slimages.macys.com/is/image/MCY/20450163 ")</f>
        <v xml:space="preserve">http://slimages.macys.com/is/image/MCY/20450163 </v>
      </c>
    </row>
    <row r="167" spans="1:20" ht="15" customHeight="1" x14ac:dyDescent="0.25">
      <c r="A167" s="4" t="s">
        <v>2489</v>
      </c>
      <c r="B167" s="2" t="s">
        <v>2487</v>
      </c>
      <c r="C167" s="2" t="s">
        <v>2488</v>
      </c>
      <c r="D167" s="5" t="s">
        <v>2490</v>
      </c>
      <c r="E167" s="4" t="s">
        <v>2491</v>
      </c>
      <c r="F167" s="6">
        <v>14236745</v>
      </c>
      <c r="G167" s="3">
        <v>14236745</v>
      </c>
      <c r="H167" s="7">
        <v>733004085871</v>
      </c>
      <c r="I167" s="8" t="s">
        <v>1906</v>
      </c>
      <c r="J167" s="4">
        <v>3</v>
      </c>
      <c r="K167" s="9">
        <v>21.99</v>
      </c>
      <c r="L167" s="9">
        <v>65.97</v>
      </c>
      <c r="M167" s="4" t="s">
        <v>3337</v>
      </c>
      <c r="N167" s="4" t="s">
        <v>2523</v>
      </c>
      <c r="O167" s="4" t="s">
        <v>2519</v>
      </c>
      <c r="P167" s="4" t="s">
        <v>2543</v>
      </c>
      <c r="Q167" s="4" t="s">
        <v>2528</v>
      </c>
      <c r="R167" s="4"/>
      <c r="S167" s="4"/>
      <c r="T167" s="4" t="str">
        <f>HYPERLINK("http://slimages.macys.com/is/image/MCY/20084023 ")</f>
        <v xml:space="preserve">http://slimages.macys.com/is/image/MCY/20084023 </v>
      </c>
    </row>
    <row r="168" spans="1:20" ht="15" customHeight="1" x14ac:dyDescent="0.25">
      <c r="A168" s="4" t="s">
        <v>2489</v>
      </c>
      <c r="B168" s="2" t="s">
        <v>2487</v>
      </c>
      <c r="C168" s="2" t="s">
        <v>2488</v>
      </c>
      <c r="D168" s="5" t="s">
        <v>2490</v>
      </c>
      <c r="E168" s="4" t="s">
        <v>2491</v>
      </c>
      <c r="F168" s="6">
        <v>14236745</v>
      </c>
      <c r="G168" s="3">
        <v>14236745</v>
      </c>
      <c r="H168" s="7">
        <v>733003643133</v>
      </c>
      <c r="I168" s="8" t="s">
        <v>2144</v>
      </c>
      <c r="J168" s="4">
        <v>3</v>
      </c>
      <c r="K168" s="9">
        <v>21.99</v>
      </c>
      <c r="L168" s="9">
        <v>65.97</v>
      </c>
      <c r="M168" s="4" t="s">
        <v>1917</v>
      </c>
      <c r="N168" s="4" t="s">
        <v>2561</v>
      </c>
      <c r="O168" s="4" t="s">
        <v>2671</v>
      </c>
      <c r="P168" s="4" t="s">
        <v>2515</v>
      </c>
      <c r="Q168" s="4" t="s">
        <v>2516</v>
      </c>
      <c r="R168" s="4"/>
      <c r="S168" s="4"/>
      <c r="T168" s="4" t="str">
        <f>HYPERLINK("http://slimages.macys.com/is/image/MCY/20008274 ")</f>
        <v xml:space="preserve">http://slimages.macys.com/is/image/MCY/20008274 </v>
      </c>
    </row>
    <row r="169" spans="1:20" ht="15" customHeight="1" x14ac:dyDescent="0.25">
      <c r="A169" s="4" t="s">
        <v>2489</v>
      </c>
      <c r="B169" s="2" t="s">
        <v>2487</v>
      </c>
      <c r="C169" s="2" t="s">
        <v>2488</v>
      </c>
      <c r="D169" s="5" t="s">
        <v>2490</v>
      </c>
      <c r="E169" s="4" t="s">
        <v>2491</v>
      </c>
      <c r="F169" s="6">
        <v>14236745</v>
      </c>
      <c r="G169" s="3">
        <v>14236745</v>
      </c>
      <c r="H169" s="7">
        <v>733004801211</v>
      </c>
      <c r="I169" s="8" t="s">
        <v>1629</v>
      </c>
      <c r="J169" s="4">
        <v>1</v>
      </c>
      <c r="K169" s="9">
        <v>12.99</v>
      </c>
      <c r="L169" s="9">
        <v>12.99</v>
      </c>
      <c r="M169" s="4" t="s">
        <v>1792</v>
      </c>
      <c r="N169" s="4" t="s">
        <v>2548</v>
      </c>
      <c r="O169" s="4" t="s">
        <v>2628</v>
      </c>
      <c r="P169" s="4" t="s">
        <v>2602</v>
      </c>
      <c r="Q169" s="4" t="s">
        <v>2528</v>
      </c>
      <c r="R169" s="4"/>
      <c r="S169" s="4"/>
      <c r="T169" s="4" t="str">
        <f>HYPERLINK("http://slimages.macys.com/is/image/MCY/20450220 ")</f>
        <v xml:space="preserve">http://slimages.macys.com/is/image/MCY/20450220 </v>
      </c>
    </row>
    <row r="170" spans="1:20" ht="15" customHeight="1" x14ac:dyDescent="0.25">
      <c r="A170" s="4" t="s">
        <v>2489</v>
      </c>
      <c r="B170" s="2" t="s">
        <v>2487</v>
      </c>
      <c r="C170" s="2" t="s">
        <v>2488</v>
      </c>
      <c r="D170" s="5" t="s">
        <v>2490</v>
      </c>
      <c r="E170" s="4" t="s">
        <v>2491</v>
      </c>
      <c r="F170" s="6">
        <v>14236745</v>
      </c>
      <c r="G170" s="3">
        <v>14236745</v>
      </c>
      <c r="H170" s="7">
        <v>733004780264</v>
      </c>
      <c r="I170" s="8" t="s">
        <v>1620</v>
      </c>
      <c r="J170" s="4">
        <v>1</v>
      </c>
      <c r="K170" s="9">
        <v>7.99</v>
      </c>
      <c r="L170" s="9">
        <v>7.99</v>
      </c>
      <c r="M170" s="4" t="s">
        <v>2690</v>
      </c>
      <c r="N170" s="4" t="s">
        <v>2638</v>
      </c>
      <c r="O170" s="4" t="s">
        <v>2629</v>
      </c>
      <c r="P170" s="4" t="s">
        <v>2602</v>
      </c>
      <c r="Q170" s="4" t="s">
        <v>2528</v>
      </c>
      <c r="R170" s="4"/>
      <c r="S170" s="4"/>
      <c r="T170" s="4" t="str">
        <f>HYPERLINK("http://slimages.macys.com/is/image/MCY/20450170 ")</f>
        <v xml:space="preserve">http://slimages.macys.com/is/image/MCY/20450170 </v>
      </c>
    </row>
    <row r="171" spans="1:20" ht="15" customHeight="1" x14ac:dyDescent="0.25">
      <c r="A171" s="4" t="s">
        <v>2489</v>
      </c>
      <c r="B171" s="2" t="s">
        <v>2487</v>
      </c>
      <c r="C171" s="2" t="s">
        <v>2488</v>
      </c>
      <c r="D171" s="5" t="s">
        <v>2490</v>
      </c>
      <c r="E171" s="4" t="s">
        <v>2491</v>
      </c>
      <c r="F171" s="6">
        <v>14236745</v>
      </c>
      <c r="G171" s="3">
        <v>14236745</v>
      </c>
      <c r="H171" s="7">
        <v>195883460611</v>
      </c>
      <c r="I171" s="8" t="s">
        <v>1047</v>
      </c>
      <c r="J171" s="4">
        <v>1</v>
      </c>
      <c r="K171" s="9">
        <v>10.99</v>
      </c>
      <c r="L171" s="9">
        <v>10.99</v>
      </c>
      <c r="M171" s="4" t="s">
        <v>1220</v>
      </c>
      <c r="N171" s="4" t="s">
        <v>2728</v>
      </c>
      <c r="O171" s="4" t="s">
        <v>2705</v>
      </c>
      <c r="P171" s="4" t="s">
        <v>2536</v>
      </c>
      <c r="Q171" s="4" t="s">
        <v>2944</v>
      </c>
      <c r="R171" s="4"/>
      <c r="S171" s="4"/>
      <c r="T171" s="4" t="str">
        <f>HYPERLINK("http://slimages.macys.com/is/image/MCY/20191103 ")</f>
        <v xml:space="preserve">http://slimages.macys.com/is/image/MCY/20191103 </v>
      </c>
    </row>
    <row r="172" spans="1:20" ht="15" customHeight="1" x14ac:dyDescent="0.25">
      <c r="A172" s="4" t="s">
        <v>2489</v>
      </c>
      <c r="B172" s="2" t="s">
        <v>2487</v>
      </c>
      <c r="C172" s="2" t="s">
        <v>2488</v>
      </c>
      <c r="D172" s="5" t="s">
        <v>2490</v>
      </c>
      <c r="E172" s="4" t="s">
        <v>2491</v>
      </c>
      <c r="F172" s="6">
        <v>14236745</v>
      </c>
      <c r="G172" s="3">
        <v>14236745</v>
      </c>
      <c r="H172" s="7">
        <v>195883942179</v>
      </c>
      <c r="I172" s="8" t="s">
        <v>3171</v>
      </c>
      <c r="J172" s="4">
        <v>1</v>
      </c>
      <c r="K172" s="9">
        <v>7.99</v>
      </c>
      <c r="L172" s="9">
        <v>7.99</v>
      </c>
      <c r="M172" s="4" t="s">
        <v>3105</v>
      </c>
      <c r="N172" s="4" t="s">
        <v>2497</v>
      </c>
      <c r="O172" s="4">
        <v>4</v>
      </c>
      <c r="P172" s="4" t="s">
        <v>2506</v>
      </c>
      <c r="Q172" s="4" t="s">
        <v>2527</v>
      </c>
      <c r="R172" s="4"/>
      <c r="S172" s="4"/>
      <c r="T172" s="4" t="str">
        <f>HYPERLINK("http://slimages.macys.com/is/image/MCY/20726224 ")</f>
        <v xml:space="preserve">http://slimages.macys.com/is/image/MCY/20726224 </v>
      </c>
    </row>
    <row r="173" spans="1:20" ht="15" customHeight="1" x14ac:dyDescent="0.25">
      <c r="A173" s="4" t="s">
        <v>2489</v>
      </c>
      <c r="B173" s="2" t="s">
        <v>2487</v>
      </c>
      <c r="C173" s="2" t="s">
        <v>2488</v>
      </c>
      <c r="D173" s="5" t="s">
        <v>2490</v>
      </c>
      <c r="E173" s="4" t="s">
        <v>2491</v>
      </c>
      <c r="F173" s="6">
        <v>14236745</v>
      </c>
      <c r="G173" s="3">
        <v>14236745</v>
      </c>
      <c r="H173" s="7">
        <v>726108384827</v>
      </c>
      <c r="I173" s="8" t="s">
        <v>3133</v>
      </c>
      <c r="J173" s="4">
        <v>3</v>
      </c>
      <c r="K173" s="9">
        <v>85</v>
      </c>
      <c r="L173" s="9">
        <v>255</v>
      </c>
      <c r="M173" s="4">
        <v>726108384827</v>
      </c>
      <c r="N173" s="4"/>
      <c r="O173" s="4" t="s">
        <v>2669</v>
      </c>
      <c r="P173" s="4" t="s">
        <v>2550</v>
      </c>
      <c r="Q173" s="4" t="s">
        <v>2706</v>
      </c>
      <c r="R173" s="4"/>
      <c r="S173" s="4"/>
      <c r="T173" s="4"/>
    </row>
    <row r="174" spans="1:20" ht="15" customHeight="1" x14ac:dyDescent="0.25">
      <c r="A174" s="4" t="s">
        <v>2489</v>
      </c>
      <c r="B174" s="2" t="s">
        <v>2487</v>
      </c>
      <c r="C174" s="2" t="s">
        <v>2488</v>
      </c>
      <c r="D174" s="5" t="s">
        <v>2490</v>
      </c>
      <c r="E174" s="4" t="s">
        <v>2491</v>
      </c>
      <c r="F174" s="6">
        <v>14236745</v>
      </c>
      <c r="G174" s="3">
        <v>14236745</v>
      </c>
      <c r="H174" s="7">
        <v>762120085755</v>
      </c>
      <c r="I174" s="8" t="s">
        <v>3411</v>
      </c>
      <c r="J174" s="4">
        <v>1</v>
      </c>
      <c r="K174" s="9">
        <v>7.99</v>
      </c>
      <c r="L174" s="9">
        <v>7.99</v>
      </c>
      <c r="M174" s="4" t="s">
        <v>3389</v>
      </c>
      <c r="N174" s="4" t="s">
        <v>2565</v>
      </c>
      <c r="O174" s="4" t="s">
        <v>2653</v>
      </c>
      <c r="P174" s="4" t="s">
        <v>2602</v>
      </c>
      <c r="Q174" s="4" t="s">
        <v>2528</v>
      </c>
      <c r="R174" s="4"/>
      <c r="S174" s="4"/>
      <c r="T174" s="4" t="str">
        <f>HYPERLINK("http://slimages.macys.com/is/image/MCY/20691817 ")</f>
        <v xml:space="preserve">http://slimages.macys.com/is/image/MCY/20691817 </v>
      </c>
    </row>
    <row r="175" spans="1:20" ht="15" customHeight="1" x14ac:dyDescent="0.25">
      <c r="A175" s="4" t="s">
        <v>2489</v>
      </c>
      <c r="B175" s="2" t="s">
        <v>2487</v>
      </c>
      <c r="C175" s="2" t="s">
        <v>2488</v>
      </c>
      <c r="D175" s="5" t="s">
        <v>2490</v>
      </c>
      <c r="E175" s="4" t="s">
        <v>2491</v>
      </c>
      <c r="F175" s="6">
        <v>14236745</v>
      </c>
      <c r="G175" s="3">
        <v>14236745</v>
      </c>
      <c r="H175" s="7">
        <v>762120087322</v>
      </c>
      <c r="I175" s="8" t="s">
        <v>1785</v>
      </c>
      <c r="J175" s="4">
        <v>2</v>
      </c>
      <c r="K175" s="9">
        <v>7.99</v>
      </c>
      <c r="L175" s="9">
        <v>15.98</v>
      </c>
      <c r="M175" s="4" t="s">
        <v>1786</v>
      </c>
      <c r="N175" s="4" t="s">
        <v>2501</v>
      </c>
      <c r="O175" s="4" t="s">
        <v>2628</v>
      </c>
      <c r="P175" s="4" t="s">
        <v>2602</v>
      </c>
      <c r="Q175" s="4" t="s">
        <v>2528</v>
      </c>
      <c r="R175" s="4"/>
      <c r="S175" s="4"/>
      <c r="T175" s="4" t="str">
        <f>HYPERLINK("http://slimages.macys.com/is/image/MCY/1079693 ")</f>
        <v xml:space="preserve">http://slimages.macys.com/is/image/MCY/1079693 </v>
      </c>
    </row>
    <row r="176" spans="1:20" ht="15" customHeight="1" x14ac:dyDescent="0.25">
      <c r="A176" s="4" t="s">
        <v>2489</v>
      </c>
      <c r="B176" s="2" t="s">
        <v>2487</v>
      </c>
      <c r="C176" s="2" t="s">
        <v>2488</v>
      </c>
      <c r="D176" s="5" t="s">
        <v>2490</v>
      </c>
      <c r="E176" s="4" t="s">
        <v>2491</v>
      </c>
      <c r="F176" s="6">
        <v>14236745</v>
      </c>
      <c r="G176" s="3">
        <v>14236745</v>
      </c>
      <c r="H176" s="7">
        <v>762120087247</v>
      </c>
      <c r="I176" s="8" t="s">
        <v>3044</v>
      </c>
      <c r="J176" s="4">
        <v>4</v>
      </c>
      <c r="K176" s="9">
        <v>11.99</v>
      </c>
      <c r="L176" s="9">
        <v>47.96</v>
      </c>
      <c r="M176" s="4" t="s">
        <v>3045</v>
      </c>
      <c r="N176" s="4" t="s">
        <v>2567</v>
      </c>
      <c r="O176" s="4">
        <v>5</v>
      </c>
      <c r="P176" s="4" t="s">
        <v>2602</v>
      </c>
      <c r="Q176" s="4" t="s">
        <v>2528</v>
      </c>
      <c r="R176" s="4"/>
      <c r="S176" s="4"/>
      <c r="T176" s="4" t="str">
        <f>HYPERLINK("http://slimages.macys.com/is/image/MCY/20691887 ")</f>
        <v xml:space="preserve">http://slimages.macys.com/is/image/MCY/20691887 </v>
      </c>
    </row>
    <row r="177" spans="1:20" ht="15" customHeight="1" x14ac:dyDescent="0.25">
      <c r="A177" s="4" t="s">
        <v>2489</v>
      </c>
      <c r="B177" s="2" t="s">
        <v>2487</v>
      </c>
      <c r="C177" s="2" t="s">
        <v>2488</v>
      </c>
      <c r="D177" s="5" t="s">
        <v>2490</v>
      </c>
      <c r="E177" s="4" t="s">
        <v>2491</v>
      </c>
      <c r="F177" s="6">
        <v>14236745</v>
      </c>
      <c r="G177" s="3">
        <v>14236745</v>
      </c>
      <c r="H177" s="7">
        <v>733003958183</v>
      </c>
      <c r="I177" s="8" t="s">
        <v>1048</v>
      </c>
      <c r="J177" s="4">
        <v>1</v>
      </c>
      <c r="K177" s="9">
        <v>19.989999999999998</v>
      </c>
      <c r="L177" s="9">
        <v>19.989999999999998</v>
      </c>
      <c r="M177" s="4" t="s">
        <v>1049</v>
      </c>
      <c r="N177" s="4" t="s">
        <v>2758</v>
      </c>
      <c r="O177" s="4" t="s">
        <v>2650</v>
      </c>
      <c r="P177" s="4" t="s">
        <v>2515</v>
      </c>
      <c r="Q177" s="4" t="s">
        <v>2672</v>
      </c>
      <c r="R177" s="4"/>
      <c r="S177" s="4"/>
      <c r="T177" s="4" t="str">
        <f>HYPERLINK("http://slimages.macys.com/is/image/MCY/20008015 ")</f>
        <v xml:space="preserve">http://slimages.macys.com/is/image/MCY/20008015 </v>
      </c>
    </row>
    <row r="178" spans="1:20" ht="15" customHeight="1" x14ac:dyDescent="0.25">
      <c r="A178" s="4" t="s">
        <v>2489</v>
      </c>
      <c r="B178" s="2" t="s">
        <v>2487</v>
      </c>
      <c r="C178" s="2" t="s">
        <v>2488</v>
      </c>
      <c r="D178" s="5" t="s">
        <v>2490</v>
      </c>
      <c r="E178" s="4" t="s">
        <v>2491</v>
      </c>
      <c r="F178" s="6">
        <v>14236745</v>
      </c>
      <c r="G178" s="3">
        <v>14236745</v>
      </c>
      <c r="H178" s="7">
        <v>762120162333</v>
      </c>
      <c r="I178" s="8" t="s">
        <v>3248</v>
      </c>
      <c r="J178" s="4">
        <v>1</v>
      </c>
      <c r="K178" s="9">
        <v>11.99</v>
      </c>
      <c r="L178" s="9">
        <v>11.99</v>
      </c>
      <c r="M178" s="4" t="s">
        <v>2631</v>
      </c>
      <c r="N178" s="4" t="s">
        <v>2632</v>
      </c>
      <c r="O178" s="4">
        <v>5</v>
      </c>
      <c r="P178" s="4" t="s">
        <v>2602</v>
      </c>
      <c r="Q178" s="4" t="s">
        <v>2528</v>
      </c>
      <c r="R178" s="4"/>
      <c r="S178" s="4"/>
      <c r="T178" s="4" t="str">
        <f>HYPERLINK("http://slimages.macys.com/is/image/MCY/20819681 ")</f>
        <v xml:space="preserve">http://slimages.macys.com/is/image/MCY/20819681 </v>
      </c>
    </row>
    <row r="179" spans="1:20" ht="15" customHeight="1" x14ac:dyDescent="0.25">
      <c r="A179" s="4" t="s">
        <v>2489</v>
      </c>
      <c r="B179" s="2" t="s">
        <v>2487</v>
      </c>
      <c r="C179" s="2" t="s">
        <v>2488</v>
      </c>
      <c r="D179" s="5" t="s">
        <v>2490</v>
      </c>
      <c r="E179" s="4" t="s">
        <v>2491</v>
      </c>
      <c r="F179" s="6">
        <v>14236745</v>
      </c>
      <c r="G179" s="3">
        <v>14236745</v>
      </c>
      <c r="H179" s="7">
        <v>733004293818</v>
      </c>
      <c r="I179" s="8" t="s">
        <v>748</v>
      </c>
      <c r="J179" s="4">
        <v>1</v>
      </c>
      <c r="K179" s="9">
        <v>13.99</v>
      </c>
      <c r="L179" s="9">
        <v>13.99</v>
      </c>
      <c r="M179" s="4" t="s">
        <v>1267</v>
      </c>
      <c r="N179" s="4" t="s">
        <v>2600</v>
      </c>
      <c r="O179" s="4" t="s">
        <v>2601</v>
      </c>
      <c r="P179" s="4" t="s">
        <v>2503</v>
      </c>
      <c r="Q179" s="4" t="s">
        <v>2504</v>
      </c>
      <c r="R179" s="4"/>
      <c r="S179" s="4"/>
      <c r="T179" s="4" t="str">
        <f>HYPERLINK("http://slimages.macys.com/is/image/MCY/19754215 ")</f>
        <v xml:space="preserve">http://slimages.macys.com/is/image/MCY/19754215 </v>
      </c>
    </row>
    <row r="180" spans="1:20" ht="15" customHeight="1" x14ac:dyDescent="0.25">
      <c r="A180" s="4" t="s">
        <v>2489</v>
      </c>
      <c r="B180" s="2" t="s">
        <v>2487</v>
      </c>
      <c r="C180" s="2" t="s">
        <v>2488</v>
      </c>
      <c r="D180" s="5" t="s">
        <v>2490</v>
      </c>
      <c r="E180" s="4" t="s">
        <v>2491</v>
      </c>
      <c r="F180" s="6">
        <v>14236745</v>
      </c>
      <c r="G180" s="3">
        <v>14236745</v>
      </c>
      <c r="H180" s="7">
        <v>762120216333</v>
      </c>
      <c r="I180" s="8" t="s">
        <v>1896</v>
      </c>
      <c r="J180" s="4">
        <v>3</v>
      </c>
      <c r="K180" s="9">
        <v>21.99</v>
      </c>
      <c r="L180" s="9">
        <v>65.97</v>
      </c>
      <c r="M180" s="4" t="s">
        <v>2994</v>
      </c>
      <c r="N180" s="4" t="s">
        <v>2565</v>
      </c>
      <c r="O180" s="4" t="s">
        <v>2555</v>
      </c>
      <c r="P180" s="4" t="s">
        <v>2515</v>
      </c>
      <c r="Q180" s="4" t="s">
        <v>2672</v>
      </c>
      <c r="R180" s="4"/>
      <c r="S180" s="4"/>
      <c r="T180" s="4" t="str">
        <f>HYPERLINK("http://slimages.macys.com/is/image/MCY/20411699 ")</f>
        <v xml:space="preserve">http://slimages.macys.com/is/image/MCY/20411699 </v>
      </c>
    </row>
    <row r="181" spans="1:20" ht="15" customHeight="1" x14ac:dyDescent="0.25">
      <c r="A181" s="4" t="s">
        <v>2489</v>
      </c>
      <c r="B181" s="2" t="s">
        <v>2487</v>
      </c>
      <c r="C181" s="2" t="s">
        <v>2488</v>
      </c>
      <c r="D181" s="5" t="s">
        <v>2490</v>
      </c>
      <c r="E181" s="4" t="s">
        <v>2491</v>
      </c>
      <c r="F181" s="6">
        <v>14236745</v>
      </c>
      <c r="G181" s="3">
        <v>14236745</v>
      </c>
      <c r="H181" s="7">
        <v>9357067787971</v>
      </c>
      <c r="I181" s="8" t="s">
        <v>1050</v>
      </c>
      <c r="J181" s="4">
        <v>1</v>
      </c>
      <c r="K181" s="9">
        <v>24.99</v>
      </c>
      <c r="L181" s="9">
        <v>24.99</v>
      </c>
      <c r="M181" s="4" t="s">
        <v>1051</v>
      </c>
      <c r="N181" s="4" t="s">
        <v>2523</v>
      </c>
      <c r="O181" s="4">
        <v>8</v>
      </c>
      <c r="P181" s="4" t="s">
        <v>2556</v>
      </c>
      <c r="Q181" s="4" t="s">
        <v>2908</v>
      </c>
      <c r="R181" s="4"/>
      <c r="S181" s="4"/>
      <c r="T181" s="4" t="str">
        <f>HYPERLINK("http://slimages.macys.com/is/image/MCY/18665385 ")</f>
        <v xml:space="preserve">http://slimages.macys.com/is/image/MCY/18665385 </v>
      </c>
    </row>
    <row r="182" spans="1:20" ht="15" customHeight="1" x14ac:dyDescent="0.25">
      <c r="A182" s="4" t="s">
        <v>2489</v>
      </c>
      <c r="B182" s="2" t="s">
        <v>2487</v>
      </c>
      <c r="C182" s="2" t="s">
        <v>2488</v>
      </c>
      <c r="D182" s="5" t="s">
        <v>2490</v>
      </c>
      <c r="E182" s="4" t="s">
        <v>2491</v>
      </c>
      <c r="F182" s="6">
        <v>14236745</v>
      </c>
      <c r="G182" s="3">
        <v>14236745</v>
      </c>
      <c r="H182" s="7">
        <v>762120084789</v>
      </c>
      <c r="I182" s="8" t="s">
        <v>2098</v>
      </c>
      <c r="J182" s="4">
        <v>1</v>
      </c>
      <c r="K182" s="9">
        <v>7.99</v>
      </c>
      <c r="L182" s="9">
        <v>7.99</v>
      </c>
      <c r="M182" s="4" t="s">
        <v>2756</v>
      </c>
      <c r="N182" s="4" t="s">
        <v>2501</v>
      </c>
      <c r="O182" s="4">
        <v>6</v>
      </c>
      <c r="P182" s="4" t="s">
        <v>2602</v>
      </c>
      <c r="Q182" s="4" t="s">
        <v>2528</v>
      </c>
      <c r="R182" s="4"/>
      <c r="S182" s="4"/>
      <c r="T182" s="4" t="str">
        <f>HYPERLINK("http://slimages.macys.com/is/image/MCY/1088549 ")</f>
        <v xml:space="preserve">http://slimages.macys.com/is/image/MCY/1088549 </v>
      </c>
    </row>
    <row r="183" spans="1:20" ht="15" customHeight="1" x14ac:dyDescent="0.25">
      <c r="A183" s="4" t="s">
        <v>2489</v>
      </c>
      <c r="B183" s="2" t="s">
        <v>2487</v>
      </c>
      <c r="C183" s="2" t="s">
        <v>2488</v>
      </c>
      <c r="D183" s="5" t="s">
        <v>2490</v>
      </c>
      <c r="E183" s="4" t="s">
        <v>2491</v>
      </c>
      <c r="F183" s="6">
        <v>14236745</v>
      </c>
      <c r="G183" s="3">
        <v>14236745</v>
      </c>
      <c r="H183" s="7">
        <v>733004738647</v>
      </c>
      <c r="I183" s="8" t="s">
        <v>1052</v>
      </c>
      <c r="J183" s="4">
        <v>1</v>
      </c>
      <c r="K183" s="9">
        <v>6.99</v>
      </c>
      <c r="L183" s="9">
        <v>6.99</v>
      </c>
      <c r="M183" s="4" t="s">
        <v>1028</v>
      </c>
      <c r="N183" s="4" t="s">
        <v>2501</v>
      </c>
      <c r="O183" s="4" t="s">
        <v>2502</v>
      </c>
      <c r="P183" s="4" t="s">
        <v>2503</v>
      </c>
      <c r="Q183" s="4" t="s">
        <v>2504</v>
      </c>
      <c r="R183" s="4"/>
      <c r="S183" s="4"/>
      <c r="T183" s="4" t="str">
        <f>HYPERLINK("http://slimages.macys.com/is/image/MCY/19977837 ")</f>
        <v xml:space="preserve">http://slimages.macys.com/is/image/MCY/19977837 </v>
      </c>
    </row>
    <row r="184" spans="1:20" ht="15" customHeight="1" x14ac:dyDescent="0.25">
      <c r="A184" s="4" t="s">
        <v>2489</v>
      </c>
      <c r="B184" s="2" t="s">
        <v>2487</v>
      </c>
      <c r="C184" s="2" t="s">
        <v>2488</v>
      </c>
      <c r="D184" s="5" t="s">
        <v>2490</v>
      </c>
      <c r="E184" s="4" t="s">
        <v>2491</v>
      </c>
      <c r="F184" s="6">
        <v>14236745</v>
      </c>
      <c r="G184" s="3">
        <v>14236745</v>
      </c>
      <c r="H184" s="7">
        <v>762120124164</v>
      </c>
      <c r="I184" s="8" t="s">
        <v>1053</v>
      </c>
      <c r="J184" s="4">
        <v>1</v>
      </c>
      <c r="K184" s="9">
        <v>7.99</v>
      </c>
      <c r="L184" s="9">
        <v>7.99</v>
      </c>
      <c r="M184" s="4" t="s">
        <v>1054</v>
      </c>
      <c r="N184" s="4" t="s">
        <v>2561</v>
      </c>
      <c r="O184" s="4" t="s">
        <v>2628</v>
      </c>
      <c r="P184" s="4" t="s">
        <v>2503</v>
      </c>
      <c r="Q184" s="4" t="s">
        <v>2504</v>
      </c>
      <c r="R184" s="4"/>
      <c r="S184" s="4"/>
      <c r="T184" s="4" t="str">
        <f>HYPERLINK("http://slimages.macys.com/is/image/MCY/20386011 ")</f>
        <v xml:space="preserve">http://slimages.macys.com/is/image/MCY/20386011 </v>
      </c>
    </row>
    <row r="185" spans="1:20" ht="15" customHeight="1" x14ac:dyDescent="0.25">
      <c r="A185" s="4" t="s">
        <v>2489</v>
      </c>
      <c r="B185" s="2" t="s">
        <v>2487</v>
      </c>
      <c r="C185" s="2" t="s">
        <v>2488</v>
      </c>
      <c r="D185" s="5" t="s">
        <v>2490</v>
      </c>
      <c r="E185" s="4" t="s">
        <v>2491</v>
      </c>
      <c r="F185" s="6">
        <v>14236745</v>
      </c>
      <c r="G185" s="3">
        <v>14236745</v>
      </c>
      <c r="H185" s="7">
        <v>733004748578</v>
      </c>
      <c r="I185" s="8" t="s">
        <v>1055</v>
      </c>
      <c r="J185" s="4">
        <v>1</v>
      </c>
      <c r="K185" s="9">
        <v>7.99</v>
      </c>
      <c r="L185" s="9">
        <v>7.99</v>
      </c>
      <c r="M185" s="4" t="s">
        <v>3352</v>
      </c>
      <c r="N185" s="4" t="s">
        <v>2505</v>
      </c>
      <c r="O185" s="4" t="s">
        <v>2650</v>
      </c>
      <c r="P185" s="4" t="s">
        <v>2503</v>
      </c>
      <c r="Q185" s="4" t="s">
        <v>2504</v>
      </c>
      <c r="R185" s="4"/>
      <c r="S185" s="4"/>
      <c r="T185" s="4" t="str">
        <f>HYPERLINK("http://slimages.macys.com/is/image/MCY/19977855 ")</f>
        <v xml:space="preserve">http://slimages.macys.com/is/image/MCY/19977855 </v>
      </c>
    </row>
    <row r="186" spans="1:20" ht="15" customHeight="1" x14ac:dyDescent="0.25">
      <c r="A186" s="4" t="s">
        <v>2489</v>
      </c>
      <c r="B186" s="2" t="s">
        <v>2487</v>
      </c>
      <c r="C186" s="2" t="s">
        <v>2488</v>
      </c>
      <c r="D186" s="5" t="s">
        <v>2490</v>
      </c>
      <c r="E186" s="4" t="s">
        <v>2491</v>
      </c>
      <c r="F186" s="6">
        <v>14236745</v>
      </c>
      <c r="G186" s="3">
        <v>14236745</v>
      </c>
      <c r="H186" s="7">
        <v>733002944545</v>
      </c>
      <c r="I186" s="8" t="s">
        <v>2927</v>
      </c>
      <c r="J186" s="4">
        <v>1</v>
      </c>
      <c r="K186" s="9">
        <v>5.99</v>
      </c>
      <c r="L186" s="9">
        <v>5.99</v>
      </c>
      <c r="M186" s="4" t="s">
        <v>2708</v>
      </c>
      <c r="N186" s="4" t="s">
        <v>2508</v>
      </c>
      <c r="O186" s="4" t="s">
        <v>2650</v>
      </c>
      <c r="P186" s="4" t="s">
        <v>2520</v>
      </c>
      <c r="Q186" s="4" t="s">
        <v>2528</v>
      </c>
      <c r="R186" s="4"/>
      <c r="S186" s="4"/>
      <c r="T186" s="4" t="str">
        <f>HYPERLINK("http://slimages.macys.com/is/image/MCY/19239571 ")</f>
        <v xml:space="preserve">http://slimages.macys.com/is/image/MCY/19239571 </v>
      </c>
    </row>
    <row r="187" spans="1:20" ht="15" customHeight="1" x14ac:dyDescent="0.25">
      <c r="A187" s="4" t="s">
        <v>2489</v>
      </c>
      <c r="B187" s="2" t="s">
        <v>2487</v>
      </c>
      <c r="C187" s="2" t="s">
        <v>2488</v>
      </c>
      <c r="D187" s="5" t="s">
        <v>2490</v>
      </c>
      <c r="E187" s="4" t="s">
        <v>2491</v>
      </c>
      <c r="F187" s="6">
        <v>14236745</v>
      </c>
      <c r="G187" s="3">
        <v>14236745</v>
      </c>
      <c r="H187" s="7">
        <v>733003805029</v>
      </c>
      <c r="I187" s="8" t="s">
        <v>3291</v>
      </c>
      <c r="J187" s="4">
        <v>1</v>
      </c>
      <c r="K187" s="9">
        <v>5.99</v>
      </c>
      <c r="L187" s="9">
        <v>5.99</v>
      </c>
      <c r="M187" s="4" t="s">
        <v>3232</v>
      </c>
      <c r="N187" s="4" t="s">
        <v>2682</v>
      </c>
      <c r="O187" s="4" t="s">
        <v>2650</v>
      </c>
      <c r="P187" s="4" t="s">
        <v>2520</v>
      </c>
      <c r="Q187" s="4" t="s">
        <v>2528</v>
      </c>
      <c r="R187" s="4"/>
      <c r="S187" s="4"/>
      <c r="T187" s="4" t="str">
        <f>HYPERLINK("http://slimages.macys.com/is/image/MCY/19239511 ")</f>
        <v xml:space="preserve">http://slimages.macys.com/is/image/MCY/19239511 </v>
      </c>
    </row>
    <row r="188" spans="1:20" ht="15" customHeight="1" x14ac:dyDescent="0.25">
      <c r="A188" s="4" t="s">
        <v>2489</v>
      </c>
      <c r="B188" s="2" t="s">
        <v>2487</v>
      </c>
      <c r="C188" s="2" t="s">
        <v>2488</v>
      </c>
      <c r="D188" s="5" t="s">
        <v>2490</v>
      </c>
      <c r="E188" s="4" t="s">
        <v>2491</v>
      </c>
      <c r="F188" s="6">
        <v>14236745</v>
      </c>
      <c r="G188" s="3">
        <v>14236745</v>
      </c>
      <c r="H188" s="7">
        <v>762120086233</v>
      </c>
      <c r="I188" s="8" t="s">
        <v>3142</v>
      </c>
      <c r="J188" s="4">
        <v>2</v>
      </c>
      <c r="K188" s="9">
        <v>7.99</v>
      </c>
      <c r="L188" s="9">
        <v>15.98</v>
      </c>
      <c r="M188" s="4" t="s">
        <v>2806</v>
      </c>
      <c r="N188" s="4" t="s">
        <v>2530</v>
      </c>
      <c r="O188" s="4" t="s">
        <v>2628</v>
      </c>
      <c r="P188" s="4" t="s">
        <v>2602</v>
      </c>
      <c r="Q188" s="4" t="s">
        <v>2528</v>
      </c>
      <c r="R188" s="4"/>
      <c r="S188" s="4"/>
      <c r="T188" s="4" t="str">
        <f>HYPERLINK("http://slimages.macys.com/is/image/MCY/1086506 ")</f>
        <v xml:space="preserve">http://slimages.macys.com/is/image/MCY/1086506 </v>
      </c>
    </row>
    <row r="189" spans="1:20" ht="15" customHeight="1" x14ac:dyDescent="0.25">
      <c r="A189" s="4" t="s">
        <v>2489</v>
      </c>
      <c r="B189" s="2" t="s">
        <v>2487</v>
      </c>
      <c r="C189" s="2" t="s">
        <v>2488</v>
      </c>
      <c r="D189" s="5" t="s">
        <v>2490</v>
      </c>
      <c r="E189" s="4" t="s">
        <v>2491</v>
      </c>
      <c r="F189" s="6">
        <v>14236745</v>
      </c>
      <c r="G189" s="3">
        <v>14236745</v>
      </c>
      <c r="H189" s="7">
        <v>696114413159</v>
      </c>
      <c r="I189" s="8" t="s">
        <v>1056</v>
      </c>
      <c r="J189" s="4">
        <v>1</v>
      </c>
      <c r="K189" s="9">
        <v>14.99</v>
      </c>
      <c r="L189" s="9">
        <v>14.99</v>
      </c>
      <c r="M189" s="4" t="s">
        <v>2821</v>
      </c>
      <c r="N189" s="4" t="s">
        <v>2523</v>
      </c>
      <c r="O189" s="4" t="s">
        <v>2705</v>
      </c>
      <c r="P189" s="4" t="s">
        <v>2740</v>
      </c>
      <c r="Q189" s="4" t="s">
        <v>2822</v>
      </c>
      <c r="R189" s="4"/>
      <c r="S189" s="4"/>
      <c r="T189" s="4" t="str">
        <f>HYPERLINK("http://slimages.macys.com/is/image/MCY/19731276 ")</f>
        <v xml:space="preserve">http://slimages.macys.com/is/image/MCY/19731276 </v>
      </c>
    </row>
    <row r="190" spans="1:20" ht="15" customHeight="1" x14ac:dyDescent="0.25">
      <c r="A190" s="4" t="s">
        <v>2489</v>
      </c>
      <c r="B190" s="2" t="s">
        <v>2487</v>
      </c>
      <c r="C190" s="2" t="s">
        <v>2488</v>
      </c>
      <c r="D190" s="5" t="s">
        <v>2490</v>
      </c>
      <c r="E190" s="4" t="s">
        <v>2491</v>
      </c>
      <c r="F190" s="6">
        <v>14236745</v>
      </c>
      <c r="G190" s="3">
        <v>14236745</v>
      </c>
      <c r="H190" s="7">
        <v>762120087506</v>
      </c>
      <c r="I190" s="8" t="s">
        <v>3340</v>
      </c>
      <c r="J190" s="4">
        <v>1</v>
      </c>
      <c r="K190" s="9">
        <v>7.99</v>
      </c>
      <c r="L190" s="9">
        <v>7.99</v>
      </c>
      <c r="M190" s="4" t="s">
        <v>1332</v>
      </c>
      <c r="N190" s="4" t="s">
        <v>2492</v>
      </c>
      <c r="O190" s="4" t="s">
        <v>2628</v>
      </c>
      <c r="P190" s="4" t="s">
        <v>2602</v>
      </c>
      <c r="Q190" s="4" t="s">
        <v>2528</v>
      </c>
      <c r="R190" s="4"/>
      <c r="S190" s="4"/>
      <c r="T190" s="4" t="str">
        <f>HYPERLINK("http://slimages.macys.com/is/image/MCY/20691905 ")</f>
        <v xml:space="preserve">http://slimages.macys.com/is/image/MCY/20691905 </v>
      </c>
    </row>
    <row r="191" spans="1:20" ht="15" customHeight="1" x14ac:dyDescent="0.25">
      <c r="A191" s="4" t="s">
        <v>2489</v>
      </c>
      <c r="B191" s="2" t="s">
        <v>2487</v>
      </c>
      <c r="C191" s="2" t="s">
        <v>2488</v>
      </c>
      <c r="D191" s="5" t="s">
        <v>2490</v>
      </c>
      <c r="E191" s="4" t="s">
        <v>2491</v>
      </c>
      <c r="F191" s="6">
        <v>14236745</v>
      </c>
      <c r="G191" s="3">
        <v>14236745</v>
      </c>
      <c r="H191" s="7">
        <v>762120085137</v>
      </c>
      <c r="I191" s="8" t="s">
        <v>775</v>
      </c>
      <c r="J191" s="4">
        <v>1</v>
      </c>
      <c r="K191" s="9">
        <v>7.99</v>
      </c>
      <c r="L191" s="9">
        <v>7.99</v>
      </c>
      <c r="M191" s="4" t="s">
        <v>1331</v>
      </c>
      <c r="N191" s="4" t="s">
        <v>2497</v>
      </c>
      <c r="O191" s="4" t="s">
        <v>2629</v>
      </c>
      <c r="P191" s="4" t="s">
        <v>2602</v>
      </c>
      <c r="Q191" s="4" t="s">
        <v>2528</v>
      </c>
      <c r="R191" s="4"/>
      <c r="S191" s="4"/>
      <c r="T191" s="4" t="str">
        <f>HYPERLINK("http://slimages.macys.com/is/image/MCY/20691804 ")</f>
        <v xml:space="preserve">http://slimages.macys.com/is/image/MCY/20691804 </v>
      </c>
    </row>
    <row r="192" spans="1:20" ht="15" customHeight="1" x14ac:dyDescent="0.25">
      <c r="A192" s="4" t="s">
        <v>2489</v>
      </c>
      <c r="B192" s="2" t="s">
        <v>2487</v>
      </c>
      <c r="C192" s="2" t="s">
        <v>2488</v>
      </c>
      <c r="D192" s="5" t="s">
        <v>2490</v>
      </c>
      <c r="E192" s="4" t="s">
        <v>2491</v>
      </c>
      <c r="F192" s="6">
        <v>14236745</v>
      </c>
      <c r="G192" s="3">
        <v>14236745</v>
      </c>
      <c r="H192" s="7">
        <v>733003643188</v>
      </c>
      <c r="I192" s="8" t="s">
        <v>777</v>
      </c>
      <c r="J192" s="4">
        <v>1</v>
      </c>
      <c r="K192" s="9">
        <v>21.99</v>
      </c>
      <c r="L192" s="9">
        <v>21.99</v>
      </c>
      <c r="M192" s="4" t="s">
        <v>1917</v>
      </c>
      <c r="N192" s="4" t="s">
        <v>2561</v>
      </c>
      <c r="O192" s="4"/>
      <c r="P192" s="4" t="s">
        <v>2515</v>
      </c>
      <c r="Q192" s="4" t="s">
        <v>2516</v>
      </c>
      <c r="R192" s="4"/>
      <c r="S192" s="4"/>
      <c r="T192" s="4" t="str">
        <f>HYPERLINK("http://slimages.macys.com/is/image/MCY/20008274 ")</f>
        <v xml:space="preserve">http://slimages.macys.com/is/image/MCY/20008274 </v>
      </c>
    </row>
    <row r="193" spans="1:20" ht="15" customHeight="1" x14ac:dyDescent="0.25">
      <c r="A193" s="4" t="s">
        <v>2489</v>
      </c>
      <c r="B193" s="2" t="s">
        <v>2487</v>
      </c>
      <c r="C193" s="2" t="s">
        <v>2488</v>
      </c>
      <c r="D193" s="5" t="s">
        <v>2490</v>
      </c>
      <c r="E193" s="4" t="s">
        <v>2491</v>
      </c>
      <c r="F193" s="6">
        <v>14236745</v>
      </c>
      <c r="G193" s="3">
        <v>14236745</v>
      </c>
      <c r="H193" s="7">
        <v>733004085864</v>
      </c>
      <c r="I193" s="8" t="s">
        <v>1879</v>
      </c>
      <c r="J193" s="4">
        <v>4</v>
      </c>
      <c r="K193" s="9">
        <v>21.99</v>
      </c>
      <c r="L193" s="9">
        <v>87.96</v>
      </c>
      <c r="M193" s="4" t="s">
        <v>2842</v>
      </c>
      <c r="N193" s="4" t="s">
        <v>2514</v>
      </c>
      <c r="O193" s="4" t="s">
        <v>2671</v>
      </c>
      <c r="P193" s="4" t="s">
        <v>2543</v>
      </c>
      <c r="Q193" s="4" t="s">
        <v>2528</v>
      </c>
      <c r="R193" s="4"/>
      <c r="S193" s="4"/>
      <c r="T193" s="4" t="str">
        <f>HYPERLINK("http://slimages.macys.com/is/image/MCY/19988442 ")</f>
        <v xml:space="preserve">http://slimages.macys.com/is/image/MCY/19988442 </v>
      </c>
    </row>
    <row r="194" spans="1:20" ht="15" customHeight="1" x14ac:dyDescent="0.25">
      <c r="A194" s="4" t="s">
        <v>2489</v>
      </c>
      <c r="B194" s="2" t="s">
        <v>2487</v>
      </c>
      <c r="C194" s="2" t="s">
        <v>2488</v>
      </c>
      <c r="D194" s="5" t="s">
        <v>2490</v>
      </c>
      <c r="E194" s="4" t="s">
        <v>2491</v>
      </c>
      <c r="F194" s="6">
        <v>14236745</v>
      </c>
      <c r="G194" s="3">
        <v>14236745</v>
      </c>
      <c r="H194" s="7">
        <v>762120087308</v>
      </c>
      <c r="I194" s="8" t="s">
        <v>1580</v>
      </c>
      <c r="J194" s="4">
        <v>2</v>
      </c>
      <c r="K194" s="9">
        <v>7.99</v>
      </c>
      <c r="L194" s="9">
        <v>15.98</v>
      </c>
      <c r="M194" s="4" t="s">
        <v>1786</v>
      </c>
      <c r="N194" s="4" t="s">
        <v>2501</v>
      </c>
      <c r="O194" s="4" t="s">
        <v>2650</v>
      </c>
      <c r="P194" s="4" t="s">
        <v>2602</v>
      </c>
      <c r="Q194" s="4" t="s">
        <v>2528</v>
      </c>
      <c r="R194" s="4"/>
      <c r="S194" s="4"/>
      <c r="T194" s="4" t="str">
        <f>HYPERLINK("http://slimages.macys.com/is/image/MCY/1080385 ")</f>
        <v xml:space="preserve">http://slimages.macys.com/is/image/MCY/1080385 </v>
      </c>
    </row>
    <row r="195" spans="1:20" ht="15" customHeight="1" x14ac:dyDescent="0.25">
      <c r="A195" s="4" t="s">
        <v>2489</v>
      </c>
      <c r="B195" s="2" t="s">
        <v>2487</v>
      </c>
      <c r="C195" s="2" t="s">
        <v>2488</v>
      </c>
      <c r="D195" s="5" t="s">
        <v>2490</v>
      </c>
      <c r="E195" s="4" t="s">
        <v>2491</v>
      </c>
      <c r="F195" s="6">
        <v>14236745</v>
      </c>
      <c r="G195" s="3">
        <v>14236745</v>
      </c>
      <c r="H195" s="7">
        <v>733003643317</v>
      </c>
      <c r="I195" s="8" t="s">
        <v>1057</v>
      </c>
      <c r="J195" s="4">
        <v>2</v>
      </c>
      <c r="K195" s="9">
        <v>21.99</v>
      </c>
      <c r="L195" s="9">
        <v>43.98</v>
      </c>
      <c r="M195" s="4" t="s">
        <v>2113</v>
      </c>
      <c r="N195" s="4" t="s">
        <v>2632</v>
      </c>
      <c r="O195" s="4" t="s">
        <v>2498</v>
      </c>
      <c r="P195" s="4" t="s">
        <v>2515</v>
      </c>
      <c r="Q195" s="4" t="s">
        <v>2516</v>
      </c>
      <c r="R195" s="4"/>
      <c r="S195" s="4"/>
      <c r="T195" s="4" t="str">
        <f>HYPERLINK("http://slimages.macys.com/is/image/MCY/20143256 ")</f>
        <v xml:space="preserve">http://slimages.macys.com/is/image/MCY/20143256 </v>
      </c>
    </row>
    <row r="196" spans="1:20" ht="15" customHeight="1" x14ac:dyDescent="0.25">
      <c r="A196" s="4" t="s">
        <v>2489</v>
      </c>
      <c r="B196" s="2" t="s">
        <v>2487</v>
      </c>
      <c r="C196" s="2" t="s">
        <v>2488</v>
      </c>
      <c r="D196" s="5" t="s">
        <v>2490</v>
      </c>
      <c r="E196" s="4" t="s">
        <v>2491</v>
      </c>
      <c r="F196" s="6">
        <v>14236745</v>
      </c>
      <c r="G196" s="3">
        <v>14236745</v>
      </c>
      <c r="H196" s="7">
        <v>733003580919</v>
      </c>
      <c r="I196" s="8" t="s">
        <v>1630</v>
      </c>
      <c r="J196" s="4">
        <v>1</v>
      </c>
      <c r="K196" s="9">
        <v>21.99</v>
      </c>
      <c r="L196" s="9">
        <v>21.99</v>
      </c>
      <c r="M196" s="4" t="s">
        <v>3190</v>
      </c>
      <c r="N196" s="4" t="s">
        <v>2642</v>
      </c>
      <c r="O196" s="4" t="s">
        <v>2601</v>
      </c>
      <c r="P196" s="4" t="s">
        <v>2503</v>
      </c>
      <c r="Q196" s="4" t="s">
        <v>2504</v>
      </c>
      <c r="R196" s="4"/>
      <c r="S196" s="4"/>
      <c r="T196" s="4" t="str">
        <f>HYPERLINK("http://slimages.macys.com/is/image/MCY/19588814 ")</f>
        <v xml:space="preserve">http://slimages.macys.com/is/image/MCY/19588814 </v>
      </c>
    </row>
    <row r="197" spans="1:20" ht="15" customHeight="1" x14ac:dyDescent="0.25">
      <c r="A197" s="4" t="s">
        <v>2489</v>
      </c>
      <c r="B197" s="2" t="s">
        <v>2487</v>
      </c>
      <c r="C197" s="2" t="s">
        <v>2488</v>
      </c>
      <c r="D197" s="5" t="s">
        <v>2490</v>
      </c>
      <c r="E197" s="4" t="s">
        <v>2491</v>
      </c>
      <c r="F197" s="6">
        <v>14236745</v>
      </c>
      <c r="G197" s="3">
        <v>14236745</v>
      </c>
      <c r="H197" s="7">
        <v>733004952432</v>
      </c>
      <c r="I197" s="8" t="s">
        <v>1058</v>
      </c>
      <c r="J197" s="4">
        <v>1</v>
      </c>
      <c r="K197" s="9">
        <v>13.99</v>
      </c>
      <c r="L197" s="9">
        <v>13.99</v>
      </c>
      <c r="M197" s="4" t="s">
        <v>3207</v>
      </c>
      <c r="N197" s="4" t="s">
        <v>2561</v>
      </c>
      <c r="O197" s="4"/>
      <c r="P197" s="4" t="s">
        <v>2503</v>
      </c>
      <c r="Q197" s="4" t="s">
        <v>2504</v>
      </c>
      <c r="R197" s="4"/>
      <c r="S197" s="4"/>
      <c r="T197" s="4" t="str">
        <f>HYPERLINK("http://slimages.macys.com/is/image/MCY/1070791 ")</f>
        <v xml:space="preserve">http://slimages.macys.com/is/image/MCY/1070791 </v>
      </c>
    </row>
    <row r="198" spans="1:20" ht="15" customHeight="1" x14ac:dyDescent="0.25">
      <c r="A198" s="4" t="s">
        <v>2489</v>
      </c>
      <c r="B198" s="2" t="s">
        <v>2487</v>
      </c>
      <c r="C198" s="2" t="s">
        <v>2488</v>
      </c>
      <c r="D198" s="5" t="s">
        <v>2490</v>
      </c>
      <c r="E198" s="4" t="s">
        <v>2491</v>
      </c>
      <c r="F198" s="6">
        <v>14236745</v>
      </c>
      <c r="G198" s="3">
        <v>14236745</v>
      </c>
      <c r="H198" s="7">
        <v>733004295287</v>
      </c>
      <c r="I198" s="8" t="s">
        <v>1059</v>
      </c>
      <c r="J198" s="4">
        <v>1</v>
      </c>
      <c r="K198" s="9">
        <v>12.99</v>
      </c>
      <c r="L198" s="9">
        <v>12.99</v>
      </c>
      <c r="M198" s="4" t="s">
        <v>3435</v>
      </c>
      <c r="N198" s="4" t="s">
        <v>2600</v>
      </c>
      <c r="O198" s="4" t="s">
        <v>2493</v>
      </c>
      <c r="P198" s="4" t="s">
        <v>2503</v>
      </c>
      <c r="Q198" s="4" t="s">
        <v>2504</v>
      </c>
      <c r="R198" s="4"/>
      <c r="S198" s="4"/>
      <c r="T198" s="4" t="str">
        <f>HYPERLINK("http://slimages.macys.com/is/image/MCY/19217922 ")</f>
        <v xml:space="preserve">http://slimages.macys.com/is/image/MCY/19217922 </v>
      </c>
    </row>
    <row r="199" spans="1:20" ht="15" customHeight="1" x14ac:dyDescent="0.25">
      <c r="A199" s="4" t="s">
        <v>2489</v>
      </c>
      <c r="B199" s="2" t="s">
        <v>2487</v>
      </c>
      <c r="C199" s="2" t="s">
        <v>2488</v>
      </c>
      <c r="D199" s="5" t="s">
        <v>2490</v>
      </c>
      <c r="E199" s="4" t="s">
        <v>2491</v>
      </c>
      <c r="F199" s="6">
        <v>14236745</v>
      </c>
      <c r="G199" s="3">
        <v>14236745</v>
      </c>
      <c r="H199" s="7">
        <v>194133539206</v>
      </c>
      <c r="I199" s="8" t="s">
        <v>872</v>
      </c>
      <c r="J199" s="4">
        <v>1</v>
      </c>
      <c r="K199" s="9">
        <v>12.78</v>
      </c>
      <c r="L199" s="9">
        <v>12.78</v>
      </c>
      <c r="M199" s="4" t="s">
        <v>873</v>
      </c>
      <c r="N199" s="4"/>
      <c r="O199" s="4" t="s">
        <v>2502</v>
      </c>
      <c r="P199" s="4" t="s">
        <v>2494</v>
      </c>
      <c r="Q199" s="4" t="s">
        <v>2560</v>
      </c>
      <c r="R199" s="4"/>
      <c r="S199" s="4"/>
      <c r="T199" s="4" t="str">
        <f>HYPERLINK("http://slimages.macys.com/is/image/MCY/19836169 ")</f>
        <v xml:space="preserve">http://slimages.macys.com/is/image/MCY/19836169 </v>
      </c>
    </row>
    <row r="200" spans="1:20" ht="15" customHeight="1" x14ac:dyDescent="0.25">
      <c r="A200" s="4" t="s">
        <v>2489</v>
      </c>
      <c r="B200" s="2" t="s">
        <v>2487</v>
      </c>
      <c r="C200" s="2" t="s">
        <v>2488</v>
      </c>
      <c r="D200" s="5" t="s">
        <v>2490</v>
      </c>
      <c r="E200" s="4" t="s">
        <v>2491</v>
      </c>
      <c r="F200" s="6">
        <v>14236745</v>
      </c>
      <c r="G200" s="3">
        <v>14236745</v>
      </c>
      <c r="H200" s="7">
        <v>733004722707</v>
      </c>
      <c r="I200" s="8" t="s">
        <v>3192</v>
      </c>
      <c r="J200" s="4">
        <v>1</v>
      </c>
      <c r="K200" s="9">
        <v>25.99</v>
      </c>
      <c r="L200" s="9">
        <v>25.99</v>
      </c>
      <c r="M200" s="4" t="s">
        <v>3193</v>
      </c>
      <c r="N200" s="4" t="s">
        <v>2530</v>
      </c>
      <c r="O200" s="4" t="s">
        <v>2601</v>
      </c>
      <c r="P200" s="4" t="s">
        <v>2503</v>
      </c>
      <c r="Q200" s="4" t="s">
        <v>2504</v>
      </c>
      <c r="R200" s="4"/>
      <c r="S200" s="4"/>
      <c r="T200" s="4" t="str">
        <f>HYPERLINK("http://slimages.macys.com/is/image/MCY/19977902 ")</f>
        <v xml:space="preserve">http://slimages.macys.com/is/image/MCY/19977902 </v>
      </c>
    </row>
    <row r="201" spans="1:20" ht="15" customHeight="1" x14ac:dyDescent="0.25">
      <c r="A201" s="4" t="s">
        <v>2489</v>
      </c>
      <c r="B201" s="2" t="s">
        <v>2487</v>
      </c>
      <c r="C201" s="2" t="s">
        <v>2488</v>
      </c>
      <c r="D201" s="5" t="s">
        <v>2490</v>
      </c>
      <c r="E201" s="4" t="s">
        <v>2491</v>
      </c>
      <c r="F201" s="6">
        <v>14236745</v>
      </c>
      <c r="G201" s="3">
        <v>14236745</v>
      </c>
      <c r="H201" s="7">
        <v>726108379984</v>
      </c>
      <c r="I201" s="8" t="s">
        <v>3162</v>
      </c>
      <c r="J201" s="4">
        <v>1</v>
      </c>
      <c r="K201" s="9">
        <v>44.99</v>
      </c>
      <c r="L201" s="9">
        <v>44.99</v>
      </c>
      <c r="M201" s="4" t="s">
        <v>3163</v>
      </c>
      <c r="N201" s="4" t="s">
        <v>2611</v>
      </c>
      <c r="O201" s="4" t="s">
        <v>2587</v>
      </c>
      <c r="P201" s="4" t="s">
        <v>2550</v>
      </c>
      <c r="Q201" s="4" t="s">
        <v>2706</v>
      </c>
      <c r="R201" s="4"/>
      <c r="S201" s="4"/>
      <c r="T201" s="4" t="str">
        <f>HYPERLINK("http://slimages.macys.com/is/image/MCY/19908997 ")</f>
        <v xml:space="preserve">http://slimages.macys.com/is/image/MCY/19908997 </v>
      </c>
    </row>
    <row r="202" spans="1:20" ht="15" customHeight="1" x14ac:dyDescent="0.25">
      <c r="A202" s="4" t="s">
        <v>2489</v>
      </c>
      <c r="B202" s="2" t="s">
        <v>2487</v>
      </c>
      <c r="C202" s="2" t="s">
        <v>2488</v>
      </c>
      <c r="D202" s="5" t="s">
        <v>2490</v>
      </c>
      <c r="E202" s="4" t="s">
        <v>2491</v>
      </c>
      <c r="F202" s="6">
        <v>14236745</v>
      </c>
      <c r="G202" s="3">
        <v>14236745</v>
      </c>
      <c r="H202" s="7">
        <v>726108379960</v>
      </c>
      <c r="I202" s="8" t="s">
        <v>1060</v>
      </c>
      <c r="J202" s="4">
        <v>1</v>
      </c>
      <c r="K202" s="9">
        <v>44.99</v>
      </c>
      <c r="L202" s="9">
        <v>44.99</v>
      </c>
      <c r="M202" s="4" t="s">
        <v>3163</v>
      </c>
      <c r="N202" s="4" t="s">
        <v>2611</v>
      </c>
      <c r="O202" s="4" t="s">
        <v>2705</v>
      </c>
      <c r="P202" s="4" t="s">
        <v>2550</v>
      </c>
      <c r="Q202" s="4" t="s">
        <v>2706</v>
      </c>
      <c r="R202" s="4"/>
      <c r="S202" s="4"/>
      <c r="T202" s="4" t="str">
        <f>HYPERLINK("http://slimages.macys.com/is/image/MCY/19908997 ")</f>
        <v xml:space="preserve">http://slimages.macys.com/is/image/MCY/19908997 </v>
      </c>
    </row>
    <row r="203" spans="1:20" ht="15" customHeight="1" x14ac:dyDescent="0.25">
      <c r="A203" s="4" t="s">
        <v>2489</v>
      </c>
      <c r="B203" s="2" t="s">
        <v>2487</v>
      </c>
      <c r="C203" s="2" t="s">
        <v>2488</v>
      </c>
      <c r="D203" s="5" t="s">
        <v>2490</v>
      </c>
      <c r="E203" s="4" t="s">
        <v>2491</v>
      </c>
      <c r="F203" s="6">
        <v>14236745</v>
      </c>
      <c r="G203" s="3">
        <v>14236745</v>
      </c>
      <c r="H203" s="7">
        <v>733004780691</v>
      </c>
      <c r="I203" s="8" t="s">
        <v>3246</v>
      </c>
      <c r="J203" s="4">
        <v>1</v>
      </c>
      <c r="K203" s="9">
        <v>11.99</v>
      </c>
      <c r="L203" s="9">
        <v>11.99</v>
      </c>
      <c r="M203" s="4" t="s">
        <v>3083</v>
      </c>
      <c r="N203" s="4" t="s">
        <v>2638</v>
      </c>
      <c r="O203" s="4" t="s">
        <v>2650</v>
      </c>
      <c r="P203" s="4" t="s">
        <v>2602</v>
      </c>
      <c r="Q203" s="4" t="s">
        <v>2528</v>
      </c>
      <c r="R203" s="4"/>
      <c r="S203" s="4"/>
      <c r="T203" s="4" t="str">
        <f>HYPERLINK("http://slimages.macys.com/is/image/MCY/20450174 ")</f>
        <v xml:space="preserve">http://slimages.macys.com/is/image/MCY/20450174 </v>
      </c>
    </row>
    <row r="204" spans="1:20" ht="15" customHeight="1" x14ac:dyDescent="0.25">
      <c r="A204" s="4" t="s">
        <v>2489</v>
      </c>
      <c r="B204" s="2" t="s">
        <v>2487</v>
      </c>
      <c r="C204" s="2" t="s">
        <v>2488</v>
      </c>
      <c r="D204" s="5" t="s">
        <v>2490</v>
      </c>
      <c r="E204" s="4" t="s">
        <v>2491</v>
      </c>
      <c r="F204" s="6">
        <v>14236745</v>
      </c>
      <c r="G204" s="3">
        <v>14236745</v>
      </c>
      <c r="H204" s="7">
        <v>733004088568</v>
      </c>
      <c r="I204" s="8" t="s">
        <v>755</v>
      </c>
      <c r="J204" s="4">
        <v>1</v>
      </c>
      <c r="K204" s="9">
        <v>7.99</v>
      </c>
      <c r="L204" s="9">
        <v>7.99</v>
      </c>
      <c r="M204" s="4" t="s">
        <v>2802</v>
      </c>
      <c r="N204" s="4" t="s">
        <v>2561</v>
      </c>
      <c r="O204" s="4" t="s">
        <v>2650</v>
      </c>
      <c r="P204" s="4" t="s">
        <v>2602</v>
      </c>
      <c r="Q204" s="4" t="s">
        <v>2528</v>
      </c>
      <c r="R204" s="4"/>
      <c r="S204" s="4"/>
      <c r="T204" s="4" t="str">
        <f>HYPERLINK("http://slimages.macys.com/is/image/MCY/19988226 ")</f>
        <v xml:space="preserve">http://slimages.macys.com/is/image/MCY/19988226 </v>
      </c>
    </row>
    <row r="205" spans="1:20" ht="15" customHeight="1" x14ac:dyDescent="0.25">
      <c r="A205" s="4" t="s">
        <v>2489</v>
      </c>
      <c r="B205" s="2" t="s">
        <v>2487</v>
      </c>
      <c r="C205" s="2" t="s">
        <v>2488</v>
      </c>
      <c r="D205" s="5" t="s">
        <v>2490</v>
      </c>
      <c r="E205" s="4" t="s">
        <v>2491</v>
      </c>
      <c r="F205" s="6">
        <v>14236745</v>
      </c>
      <c r="G205" s="3">
        <v>14236745</v>
      </c>
      <c r="H205" s="7">
        <v>733004542183</v>
      </c>
      <c r="I205" s="8" t="s">
        <v>1061</v>
      </c>
      <c r="J205" s="4">
        <v>1</v>
      </c>
      <c r="K205" s="9">
        <v>21.99</v>
      </c>
      <c r="L205" s="9">
        <v>21.99</v>
      </c>
      <c r="M205" s="4" t="s">
        <v>906</v>
      </c>
      <c r="N205" s="4" t="s">
        <v>2523</v>
      </c>
      <c r="O205" s="4">
        <v>16</v>
      </c>
      <c r="P205" s="4" t="s">
        <v>2543</v>
      </c>
      <c r="Q205" s="4" t="s">
        <v>2528</v>
      </c>
      <c r="R205" s="4"/>
      <c r="S205" s="4"/>
      <c r="T205" s="4" t="str">
        <f>HYPERLINK("http://slimages.macys.com/is/image/MCY/20158250 ")</f>
        <v xml:space="preserve">http://slimages.macys.com/is/image/MCY/20158250 </v>
      </c>
    </row>
    <row r="206" spans="1:20" ht="15" customHeight="1" x14ac:dyDescent="0.25">
      <c r="A206" s="4" t="s">
        <v>2489</v>
      </c>
      <c r="B206" s="2" t="s">
        <v>2487</v>
      </c>
      <c r="C206" s="2" t="s">
        <v>2488</v>
      </c>
      <c r="D206" s="5" t="s">
        <v>2490</v>
      </c>
      <c r="E206" s="4" t="s">
        <v>2491</v>
      </c>
      <c r="F206" s="6">
        <v>14236745</v>
      </c>
      <c r="G206" s="3">
        <v>14236745</v>
      </c>
      <c r="H206" s="7">
        <v>733003908249</v>
      </c>
      <c r="I206" s="8" t="s">
        <v>1062</v>
      </c>
      <c r="J206" s="4">
        <v>1</v>
      </c>
      <c r="K206" s="9">
        <v>19.989999999999998</v>
      </c>
      <c r="L206" s="9">
        <v>19.989999999999998</v>
      </c>
      <c r="M206" s="4" t="s">
        <v>1063</v>
      </c>
      <c r="N206" s="4" t="s">
        <v>2665</v>
      </c>
      <c r="O206" s="4" t="s">
        <v>2566</v>
      </c>
      <c r="P206" s="4" t="s">
        <v>2503</v>
      </c>
      <c r="Q206" s="4" t="s">
        <v>2504</v>
      </c>
      <c r="R206" s="4"/>
      <c r="S206" s="4"/>
      <c r="T206" s="4" t="str">
        <f>HYPERLINK("http://slimages.macys.com/is/image/MCY/19510460 ")</f>
        <v xml:space="preserve">http://slimages.macys.com/is/image/MCY/19510460 </v>
      </c>
    </row>
    <row r="207" spans="1:20" ht="15" customHeight="1" x14ac:dyDescent="0.25">
      <c r="A207" s="4" t="s">
        <v>2489</v>
      </c>
      <c r="B207" s="2" t="s">
        <v>2487</v>
      </c>
      <c r="C207" s="2" t="s">
        <v>2488</v>
      </c>
      <c r="D207" s="5" t="s">
        <v>2490</v>
      </c>
      <c r="E207" s="4" t="s">
        <v>2491</v>
      </c>
      <c r="F207" s="6">
        <v>14236745</v>
      </c>
      <c r="G207" s="3">
        <v>14236745</v>
      </c>
      <c r="H207" s="7">
        <v>762120084505</v>
      </c>
      <c r="I207" s="8" t="s">
        <v>3122</v>
      </c>
      <c r="J207" s="4">
        <v>1</v>
      </c>
      <c r="K207" s="9">
        <v>7.99</v>
      </c>
      <c r="L207" s="9">
        <v>7.99</v>
      </c>
      <c r="M207" s="4" t="s">
        <v>3123</v>
      </c>
      <c r="N207" s="4" t="s">
        <v>2501</v>
      </c>
      <c r="O207" s="4" t="s">
        <v>2650</v>
      </c>
      <c r="P207" s="4" t="s">
        <v>2602</v>
      </c>
      <c r="Q207" s="4" t="s">
        <v>2528</v>
      </c>
      <c r="R207" s="4"/>
      <c r="S207" s="4"/>
      <c r="T207" s="4" t="str">
        <f>HYPERLINK("http://slimages.macys.com/is/image/MCY/20691765 ")</f>
        <v xml:space="preserve">http://slimages.macys.com/is/image/MCY/20691765 </v>
      </c>
    </row>
    <row r="208" spans="1:20" ht="15" customHeight="1" x14ac:dyDescent="0.25">
      <c r="A208" s="4" t="s">
        <v>2489</v>
      </c>
      <c r="B208" s="2" t="s">
        <v>2487</v>
      </c>
      <c r="C208" s="2" t="s">
        <v>2488</v>
      </c>
      <c r="D208" s="5" t="s">
        <v>2490</v>
      </c>
      <c r="E208" s="4" t="s">
        <v>2491</v>
      </c>
      <c r="F208" s="6">
        <v>14236745</v>
      </c>
      <c r="G208" s="3">
        <v>14236745</v>
      </c>
      <c r="H208" s="7">
        <v>733004297809</v>
      </c>
      <c r="I208" s="8" t="s">
        <v>1421</v>
      </c>
      <c r="J208" s="4">
        <v>1</v>
      </c>
      <c r="K208" s="9">
        <v>27.99</v>
      </c>
      <c r="L208" s="9">
        <v>27.99</v>
      </c>
      <c r="M208" s="4" t="s">
        <v>2949</v>
      </c>
      <c r="N208" s="4" t="s">
        <v>2561</v>
      </c>
      <c r="O208" s="4" t="s">
        <v>2498</v>
      </c>
      <c r="P208" s="4" t="s">
        <v>2515</v>
      </c>
      <c r="Q208" s="4" t="s">
        <v>2672</v>
      </c>
      <c r="R208" s="4"/>
      <c r="S208" s="4"/>
      <c r="T208" s="4" t="str">
        <f>HYPERLINK("http://slimages.macys.com/is/image/MCY/20143278 ")</f>
        <v xml:space="preserve">http://slimages.macys.com/is/image/MCY/20143278 </v>
      </c>
    </row>
    <row r="209" spans="1:20" ht="15" customHeight="1" x14ac:dyDescent="0.25">
      <c r="A209" s="4" t="s">
        <v>2489</v>
      </c>
      <c r="B209" s="2" t="s">
        <v>2487</v>
      </c>
      <c r="C209" s="2" t="s">
        <v>2488</v>
      </c>
      <c r="D209" s="5" t="s">
        <v>2490</v>
      </c>
      <c r="E209" s="4" t="s">
        <v>2491</v>
      </c>
      <c r="F209" s="6">
        <v>14236745</v>
      </c>
      <c r="G209" s="3">
        <v>14236745</v>
      </c>
      <c r="H209" s="7">
        <v>762120119764</v>
      </c>
      <c r="I209" s="8" t="s">
        <v>1064</v>
      </c>
      <c r="J209" s="4">
        <v>1</v>
      </c>
      <c r="K209" s="9">
        <v>6.99</v>
      </c>
      <c r="L209" s="9">
        <v>6.99</v>
      </c>
      <c r="M209" s="4" t="s">
        <v>3245</v>
      </c>
      <c r="N209" s="4" t="s">
        <v>2497</v>
      </c>
      <c r="O209" s="4" t="s">
        <v>2502</v>
      </c>
      <c r="P209" s="4" t="s">
        <v>2503</v>
      </c>
      <c r="Q209" s="4" t="s">
        <v>2504</v>
      </c>
      <c r="R209" s="4"/>
      <c r="S209" s="4"/>
      <c r="T209" s="4" t="str">
        <f>HYPERLINK("http://slimages.macys.com/is/image/MCY/20386245 ")</f>
        <v xml:space="preserve">http://slimages.macys.com/is/image/MCY/20386245 </v>
      </c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workbookViewId="0">
      <selection activeCell="C15" sqref="C15"/>
    </sheetView>
  </sheetViews>
  <sheetFormatPr defaultRowHeight="15" x14ac:dyDescent="0.25"/>
  <cols>
    <col min="1" max="1" width="19.85546875" bestFit="1" customWidth="1"/>
    <col min="2" max="2" width="34.42578125" bestFit="1" customWidth="1"/>
    <col min="3" max="3" width="26" bestFit="1" customWidth="1"/>
    <col min="4" max="4" width="8.140625" bestFit="1" customWidth="1"/>
    <col min="5" max="5" width="9.85546875" bestFit="1" customWidth="1"/>
    <col min="6" max="7" width="9" bestFit="1" customWidth="1"/>
    <col min="8" max="8" width="14.140625" bestFit="1" customWidth="1"/>
    <col min="9" max="9" width="65.42578125" bestFit="1" customWidth="1"/>
    <col min="10" max="11" width="8.7109375" bestFit="1" customWidth="1"/>
    <col min="12" max="12" width="14.7109375" bestFit="1" customWidth="1"/>
    <col min="13" max="13" width="21.5703125" bestFit="1" customWidth="1"/>
    <col min="14" max="14" width="12.28515625" bestFit="1" customWidth="1"/>
    <col min="15" max="15" width="10" bestFit="1" customWidth="1"/>
    <col min="16" max="16" width="15.5703125" bestFit="1" customWidth="1"/>
    <col min="17" max="17" width="39.42578125" bestFit="1" customWidth="1"/>
    <col min="18" max="18" width="13.7109375" bestFit="1" customWidth="1"/>
    <col min="19" max="19" width="55.42578125" bestFit="1" customWidth="1"/>
    <col min="20" max="20" width="48.140625" bestFit="1" customWidth="1"/>
  </cols>
  <sheetData>
    <row r="1" spans="1:20" ht="24" x14ac:dyDescent="0.25">
      <c r="A1" s="1" t="s">
        <v>2480</v>
      </c>
      <c r="B1" s="1" t="s">
        <v>2482</v>
      </c>
      <c r="C1" s="1" t="s">
        <v>2483</v>
      </c>
      <c r="D1" s="1" t="s">
        <v>2572</v>
      </c>
      <c r="E1" s="1" t="s">
        <v>2573</v>
      </c>
      <c r="F1" s="1" t="s">
        <v>2481</v>
      </c>
      <c r="G1" s="1" t="s">
        <v>2574</v>
      </c>
      <c r="H1" s="1" t="s">
        <v>2575</v>
      </c>
      <c r="I1" s="1" t="s">
        <v>2576</v>
      </c>
      <c r="J1" s="1" t="s">
        <v>2577</v>
      </c>
      <c r="K1" s="1" t="s">
        <v>2485</v>
      </c>
      <c r="L1" s="1" t="s">
        <v>2578</v>
      </c>
      <c r="M1" s="1" t="s">
        <v>2579</v>
      </c>
      <c r="N1" s="1" t="s">
        <v>2580</v>
      </c>
      <c r="O1" s="1" t="s">
        <v>2581</v>
      </c>
      <c r="P1" s="1" t="s">
        <v>2582</v>
      </c>
      <c r="Q1" s="1" t="s">
        <v>2583</v>
      </c>
      <c r="R1" s="1" t="s">
        <v>2584</v>
      </c>
      <c r="S1" s="1" t="s">
        <v>2585</v>
      </c>
      <c r="T1" s="1" t="s">
        <v>2586</v>
      </c>
    </row>
    <row r="2" spans="1:20" ht="15" customHeight="1" x14ac:dyDescent="0.25">
      <c r="A2" s="4" t="s">
        <v>2489</v>
      </c>
      <c r="B2" s="2" t="s">
        <v>2487</v>
      </c>
      <c r="C2" s="2" t="s">
        <v>2488</v>
      </c>
      <c r="D2" s="5" t="s">
        <v>2490</v>
      </c>
      <c r="E2" s="4" t="s">
        <v>2491</v>
      </c>
      <c r="F2" s="6">
        <v>14221323</v>
      </c>
      <c r="G2" s="3">
        <v>14221323</v>
      </c>
      <c r="H2" s="7">
        <v>194135723443</v>
      </c>
      <c r="I2" s="8" t="s">
        <v>1071</v>
      </c>
      <c r="J2" s="4">
        <v>1</v>
      </c>
      <c r="K2" s="9">
        <v>22.52</v>
      </c>
      <c r="L2" s="9">
        <v>22.52</v>
      </c>
      <c r="M2" s="4" t="s">
        <v>1065</v>
      </c>
      <c r="N2" s="4" t="s">
        <v>2567</v>
      </c>
      <c r="O2" s="4" t="s">
        <v>2493</v>
      </c>
      <c r="P2" s="4" t="s">
        <v>2494</v>
      </c>
      <c r="Q2" s="4" t="s">
        <v>2495</v>
      </c>
      <c r="R2" s="4"/>
      <c r="S2" s="4"/>
      <c r="T2" s="4" t="str">
        <f>HYPERLINK("http://slimages.macys.com/is/image/MCY/19973198 ")</f>
        <v xml:space="preserve">http://slimages.macys.com/is/image/MCY/19973198 </v>
      </c>
    </row>
    <row r="3" spans="1:20" ht="15" customHeight="1" x14ac:dyDescent="0.25">
      <c r="A3" s="4" t="s">
        <v>2489</v>
      </c>
      <c r="B3" s="2" t="s">
        <v>2487</v>
      </c>
      <c r="C3" s="2" t="s">
        <v>2488</v>
      </c>
      <c r="D3" s="5" t="s">
        <v>2490</v>
      </c>
      <c r="E3" s="4" t="s">
        <v>2491</v>
      </c>
      <c r="F3" s="6">
        <v>14221323</v>
      </c>
      <c r="G3" s="3">
        <v>14221323</v>
      </c>
      <c r="H3" s="7">
        <v>195883922744</v>
      </c>
      <c r="I3" s="8" t="s">
        <v>766</v>
      </c>
      <c r="J3" s="4">
        <v>1</v>
      </c>
      <c r="K3" s="9">
        <v>8.31</v>
      </c>
      <c r="L3" s="9">
        <v>8.31</v>
      </c>
      <c r="M3" s="4" t="s">
        <v>1208</v>
      </c>
      <c r="N3" s="4" t="s">
        <v>2501</v>
      </c>
      <c r="O3" s="4">
        <v>2</v>
      </c>
      <c r="P3" s="4" t="s">
        <v>2506</v>
      </c>
      <c r="Q3" s="4" t="s">
        <v>2527</v>
      </c>
      <c r="R3" s="4"/>
      <c r="S3" s="4"/>
      <c r="T3" s="4" t="str">
        <f>HYPERLINK("http://slimages.macys.com/is/image/MCY/20876641 ")</f>
        <v xml:space="preserve">http://slimages.macys.com/is/image/MCY/20876641 </v>
      </c>
    </row>
    <row r="4" spans="1:20" ht="15" customHeight="1" x14ac:dyDescent="0.25">
      <c r="A4" s="4" t="s">
        <v>2489</v>
      </c>
      <c r="B4" s="2" t="s">
        <v>2487</v>
      </c>
      <c r="C4" s="2" t="s">
        <v>2488</v>
      </c>
      <c r="D4" s="5" t="s">
        <v>2490</v>
      </c>
      <c r="E4" s="4" t="s">
        <v>2491</v>
      </c>
      <c r="F4" s="6">
        <v>14221323</v>
      </c>
      <c r="G4" s="3">
        <v>14221323</v>
      </c>
      <c r="H4" s="7">
        <v>733003705800</v>
      </c>
      <c r="I4" s="8" t="s">
        <v>2795</v>
      </c>
      <c r="J4" s="4">
        <v>1</v>
      </c>
      <c r="K4" s="9">
        <v>22.99</v>
      </c>
      <c r="L4" s="9">
        <v>22.99</v>
      </c>
      <c r="M4" s="4" t="s">
        <v>2794</v>
      </c>
      <c r="N4" s="4"/>
      <c r="O4" s="4">
        <v>6</v>
      </c>
      <c r="P4" s="4" t="s">
        <v>2602</v>
      </c>
      <c r="Q4" s="4" t="s">
        <v>2528</v>
      </c>
      <c r="R4" s="4"/>
      <c r="S4" s="4"/>
      <c r="T4" s="4" t="str">
        <f>HYPERLINK("http://slimages.macys.com/is/image/MCY/19632121 ")</f>
        <v xml:space="preserve">http://slimages.macys.com/is/image/MCY/19632121 </v>
      </c>
    </row>
    <row r="5" spans="1:20" ht="15" customHeight="1" x14ac:dyDescent="0.25">
      <c r="A5" s="4" t="s">
        <v>2489</v>
      </c>
      <c r="B5" s="2" t="s">
        <v>2487</v>
      </c>
      <c r="C5" s="2" t="s">
        <v>2488</v>
      </c>
      <c r="D5" s="5" t="s">
        <v>2490</v>
      </c>
      <c r="E5" s="4" t="s">
        <v>2491</v>
      </c>
      <c r="F5" s="6">
        <v>14221323</v>
      </c>
      <c r="G5" s="3">
        <v>14221323</v>
      </c>
      <c r="H5" s="7">
        <v>194654548787</v>
      </c>
      <c r="I5" s="8" t="s">
        <v>753</v>
      </c>
      <c r="J5" s="4">
        <v>1</v>
      </c>
      <c r="K5" s="9">
        <v>38</v>
      </c>
      <c r="L5" s="9">
        <v>38</v>
      </c>
      <c r="M5" s="4" t="s">
        <v>754</v>
      </c>
      <c r="N5" s="4" t="s">
        <v>2508</v>
      </c>
      <c r="O5" s="4">
        <v>8</v>
      </c>
      <c r="P5" s="4" t="s">
        <v>2510</v>
      </c>
      <c r="Q5" s="4" t="s">
        <v>2549</v>
      </c>
      <c r="R5" s="4"/>
      <c r="S5" s="4"/>
      <c r="T5" s="4"/>
    </row>
    <row r="6" spans="1:20" ht="15" customHeight="1" x14ac:dyDescent="0.25">
      <c r="A6" s="4" t="s">
        <v>2489</v>
      </c>
      <c r="B6" s="2" t="s">
        <v>2487</v>
      </c>
      <c r="C6" s="2" t="s">
        <v>2488</v>
      </c>
      <c r="D6" s="5" t="s">
        <v>2490</v>
      </c>
      <c r="E6" s="4" t="s">
        <v>2491</v>
      </c>
      <c r="F6" s="6">
        <v>14221323</v>
      </c>
      <c r="G6" s="3">
        <v>14221323</v>
      </c>
      <c r="H6" s="7">
        <v>195883380674</v>
      </c>
      <c r="I6" s="8" t="s">
        <v>1072</v>
      </c>
      <c r="J6" s="4">
        <v>1</v>
      </c>
      <c r="K6" s="9">
        <v>8.99</v>
      </c>
      <c r="L6" s="9">
        <v>8.99</v>
      </c>
      <c r="M6" s="4" t="s">
        <v>3107</v>
      </c>
      <c r="N6" s="4" t="s">
        <v>2501</v>
      </c>
      <c r="O6" s="4">
        <v>6</v>
      </c>
      <c r="P6" s="4" t="s">
        <v>2506</v>
      </c>
      <c r="Q6" s="4" t="s">
        <v>2527</v>
      </c>
      <c r="R6" s="4"/>
      <c r="S6" s="4"/>
      <c r="T6" s="4" t="str">
        <f>HYPERLINK("http://slimages.macys.com/is/image/MCY/20192083 ")</f>
        <v xml:space="preserve">http://slimages.macys.com/is/image/MCY/20192083 </v>
      </c>
    </row>
    <row r="7" spans="1:20" ht="15" customHeight="1" x14ac:dyDescent="0.25">
      <c r="A7" s="4" t="s">
        <v>2489</v>
      </c>
      <c r="B7" s="2" t="s">
        <v>2487</v>
      </c>
      <c r="C7" s="2" t="s">
        <v>2488</v>
      </c>
      <c r="D7" s="5" t="s">
        <v>2490</v>
      </c>
      <c r="E7" s="4" t="s">
        <v>2491</v>
      </c>
      <c r="F7" s="6">
        <v>14221323</v>
      </c>
      <c r="G7" s="3">
        <v>14221323</v>
      </c>
      <c r="H7" s="7">
        <v>696114436615</v>
      </c>
      <c r="I7" s="8" t="s">
        <v>1073</v>
      </c>
      <c r="J7" s="4">
        <v>1</v>
      </c>
      <c r="K7" s="9">
        <v>13.99</v>
      </c>
      <c r="L7" s="9">
        <v>13.99</v>
      </c>
      <c r="M7" s="4" t="s">
        <v>2875</v>
      </c>
      <c r="N7" s="4" t="s">
        <v>2805</v>
      </c>
      <c r="O7" s="4"/>
      <c r="P7" s="4" t="s">
        <v>2569</v>
      </c>
      <c r="Q7" s="4" t="s">
        <v>2679</v>
      </c>
      <c r="R7" s="4"/>
      <c r="S7" s="4"/>
      <c r="T7" s="4" t="str">
        <f>HYPERLINK("http://slimages.macys.com/is/image/MCY/20604755 ")</f>
        <v xml:space="preserve">http://slimages.macys.com/is/image/MCY/20604755 </v>
      </c>
    </row>
    <row r="8" spans="1:20" ht="15" customHeight="1" x14ac:dyDescent="0.25">
      <c r="A8" s="4" t="s">
        <v>2489</v>
      </c>
      <c r="B8" s="2" t="s">
        <v>2487</v>
      </c>
      <c r="C8" s="2" t="s">
        <v>2488</v>
      </c>
      <c r="D8" s="5" t="s">
        <v>2490</v>
      </c>
      <c r="E8" s="4" t="s">
        <v>2491</v>
      </c>
      <c r="F8" s="6">
        <v>14221323</v>
      </c>
      <c r="G8" s="3">
        <v>14221323</v>
      </c>
      <c r="H8" s="7">
        <v>193605879437</v>
      </c>
      <c r="I8" s="8" t="s">
        <v>1074</v>
      </c>
      <c r="J8" s="4">
        <v>1</v>
      </c>
      <c r="K8" s="9">
        <v>45</v>
      </c>
      <c r="L8" s="9">
        <v>45</v>
      </c>
      <c r="M8" s="4" t="s">
        <v>1075</v>
      </c>
      <c r="N8" s="4" t="s">
        <v>2514</v>
      </c>
      <c r="O8" s="4" t="s">
        <v>2772</v>
      </c>
      <c r="P8" s="4" t="s">
        <v>2510</v>
      </c>
      <c r="Q8" s="4" t="s">
        <v>2511</v>
      </c>
      <c r="R8" s="4"/>
      <c r="S8" s="4"/>
      <c r="T8" s="4" t="str">
        <f>HYPERLINK("http://slimages.macys.com/is/image/MCY/19570480 ")</f>
        <v xml:space="preserve">http://slimages.macys.com/is/image/MCY/19570480 </v>
      </c>
    </row>
    <row r="9" spans="1:20" ht="15" customHeight="1" x14ac:dyDescent="0.25">
      <c r="A9" s="4" t="s">
        <v>2489</v>
      </c>
      <c r="B9" s="2" t="s">
        <v>2487</v>
      </c>
      <c r="C9" s="2" t="s">
        <v>2488</v>
      </c>
      <c r="D9" s="5" t="s">
        <v>2490</v>
      </c>
      <c r="E9" s="4" t="s">
        <v>2491</v>
      </c>
      <c r="F9" s="6">
        <v>14221323</v>
      </c>
      <c r="G9" s="3">
        <v>14221323</v>
      </c>
      <c r="H9" s="7">
        <v>80538129725</v>
      </c>
      <c r="I9" s="8" t="s">
        <v>2860</v>
      </c>
      <c r="J9" s="4">
        <v>1</v>
      </c>
      <c r="K9" s="9">
        <v>11.99</v>
      </c>
      <c r="L9" s="9">
        <v>11.99</v>
      </c>
      <c r="M9" s="4">
        <v>64828</v>
      </c>
      <c r="N9" s="4" t="s">
        <v>2501</v>
      </c>
      <c r="O9" s="4" t="s">
        <v>2861</v>
      </c>
      <c r="P9" s="4" t="s">
        <v>2666</v>
      </c>
      <c r="Q9" s="4" t="s">
        <v>2778</v>
      </c>
      <c r="R9" s="4"/>
      <c r="S9" s="4"/>
      <c r="T9" s="4" t="str">
        <f>HYPERLINK("http://slimages.macys.com/is/image/MCY/19598496 ")</f>
        <v xml:space="preserve">http://slimages.macys.com/is/image/MCY/19598496 </v>
      </c>
    </row>
    <row r="10" spans="1:20" ht="15" customHeight="1" x14ac:dyDescent="0.25">
      <c r="A10" s="4" t="s">
        <v>2489</v>
      </c>
      <c r="B10" s="2" t="s">
        <v>2487</v>
      </c>
      <c r="C10" s="2" t="s">
        <v>2488</v>
      </c>
      <c r="D10" s="5" t="s">
        <v>2490</v>
      </c>
      <c r="E10" s="4" t="s">
        <v>2491</v>
      </c>
      <c r="F10" s="6">
        <v>14221323</v>
      </c>
      <c r="G10" s="3">
        <v>14221323</v>
      </c>
      <c r="H10" s="7">
        <v>733001129882</v>
      </c>
      <c r="I10" s="8" t="s">
        <v>1076</v>
      </c>
      <c r="J10" s="4">
        <v>1</v>
      </c>
      <c r="K10" s="9">
        <v>5.99</v>
      </c>
      <c r="L10" s="9">
        <v>5.99</v>
      </c>
      <c r="M10" s="4" t="s">
        <v>2727</v>
      </c>
      <c r="N10" s="4" t="s">
        <v>2497</v>
      </c>
      <c r="O10" s="4">
        <v>5</v>
      </c>
      <c r="P10" s="4" t="s">
        <v>2520</v>
      </c>
      <c r="Q10" s="4" t="s">
        <v>2528</v>
      </c>
      <c r="R10" s="4"/>
      <c r="S10" s="4"/>
      <c r="T10" s="4" t="str">
        <f>HYPERLINK("http://slimages.macys.com/is/image/MCY/17752090 ")</f>
        <v xml:space="preserve">http://slimages.macys.com/is/image/MCY/17752090 </v>
      </c>
    </row>
    <row r="11" spans="1:20" ht="15" customHeight="1" x14ac:dyDescent="0.25">
      <c r="A11" s="4" t="s">
        <v>2489</v>
      </c>
      <c r="B11" s="2" t="s">
        <v>2487</v>
      </c>
      <c r="C11" s="2" t="s">
        <v>2488</v>
      </c>
      <c r="D11" s="5" t="s">
        <v>2490</v>
      </c>
      <c r="E11" s="4" t="s">
        <v>2491</v>
      </c>
      <c r="F11" s="6">
        <v>14221323</v>
      </c>
      <c r="G11" s="3">
        <v>14221323</v>
      </c>
      <c r="H11" s="7">
        <v>194257550323</v>
      </c>
      <c r="I11" s="8" t="s">
        <v>1077</v>
      </c>
      <c r="J11" s="4">
        <v>1</v>
      </c>
      <c r="K11" s="9">
        <v>16.989999999999998</v>
      </c>
      <c r="L11" s="9">
        <v>16.989999999999998</v>
      </c>
      <c r="M11" s="4" t="s">
        <v>3034</v>
      </c>
      <c r="N11" s="4" t="s">
        <v>2497</v>
      </c>
      <c r="O11" s="4" t="s">
        <v>2519</v>
      </c>
      <c r="P11" s="4" t="s">
        <v>2499</v>
      </c>
      <c r="Q11" s="4" t="s">
        <v>2500</v>
      </c>
      <c r="R11" s="4"/>
      <c r="S11" s="4"/>
      <c r="T11" s="4" t="str">
        <f>HYPERLINK("http://slimages.macys.com/is/image/MCY/19705815 ")</f>
        <v xml:space="preserve">http://slimages.macys.com/is/image/MCY/19705815 </v>
      </c>
    </row>
    <row r="12" spans="1:20" ht="15" customHeight="1" x14ac:dyDescent="0.25">
      <c r="A12" s="4" t="s">
        <v>2489</v>
      </c>
      <c r="B12" s="2" t="s">
        <v>2487</v>
      </c>
      <c r="C12" s="2" t="s">
        <v>2488</v>
      </c>
      <c r="D12" s="5" t="s">
        <v>2490</v>
      </c>
      <c r="E12" s="4" t="s">
        <v>2491</v>
      </c>
      <c r="F12" s="6">
        <v>14221323</v>
      </c>
      <c r="G12" s="3">
        <v>14221323</v>
      </c>
      <c r="H12" s="7">
        <v>194135460829</v>
      </c>
      <c r="I12" s="8" t="s">
        <v>1078</v>
      </c>
      <c r="J12" s="4">
        <v>1</v>
      </c>
      <c r="K12" s="9">
        <v>22.52</v>
      </c>
      <c r="L12" s="9">
        <v>22.52</v>
      </c>
      <c r="M12" s="4" t="s">
        <v>1079</v>
      </c>
      <c r="N12" s="4" t="s">
        <v>2731</v>
      </c>
      <c r="O12" s="4" t="s">
        <v>2607</v>
      </c>
      <c r="P12" s="4" t="s">
        <v>2494</v>
      </c>
      <c r="Q12" s="4" t="s">
        <v>2495</v>
      </c>
      <c r="R12" s="4"/>
      <c r="S12" s="4"/>
      <c r="T12" s="4" t="str">
        <f>HYPERLINK("http://slimages.macys.com/is/image/MCY/19836708 ")</f>
        <v xml:space="preserve">http://slimages.macys.com/is/image/MCY/19836708 </v>
      </c>
    </row>
    <row r="13" spans="1:20" ht="15" customHeight="1" x14ac:dyDescent="0.25">
      <c r="A13" s="4" t="s">
        <v>2489</v>
      </c>
      <c r="B13" s="2" t="s">
        <v>2487</v>
      </c>
      <c r="C13" s="2" t="s">
        <v>2488</v>
      </c>
      <c r="D13" s="5" t="s">
        <v>2490</v>
      </c>
      <c r="E13" s="4" t="s">
        <v>2491</v>
      </c>
      <c r="F13" s="6">
        <v>14221323</v>
      </c>
      <c r="G13" s="3">
        <v>14221323</v>
      </c>
      <c r="H13" s="7">
        <v>733004883620</v>
      </c>
      <c r="I13" s="8" t="s">
        <v>2239</v>
      </c>
      <c r="J13" s="4">
        <v>1</v>
      </c>
      <c r="K13" s="9">
        <v>6.99</v>
      </c>
      <c r="L13" s="9">
        <v>6.99</v>
      </c>
      <c r="M13" s="4" t="s">
        <v>2240</v>
      </c>
      <c r="N13" s="4" t="s">
        <v>2530</v>
      </c>
      <c r="O13" s="4" t="s">
        <v>2566</v>
      </c>
      <c r="P13" s="4" t="s">
        <v>2503</v>
      </c>
      <c r="Q13" s="4" t="s">
        <v>2504</v>
      </c>
      <c r="R13" s="4"/>
      <c r="S13" s="4"/>
      <c r="T13" s="4" t="str">
        <f>HYPERLINK("http://slimages.macys.com/is/image/MCY/20142585 ")</f>
        <v xml:space="preserve">http://slimages.macys.com/is/image/MCY/20142585 </v>
      </c>
    </row>
    <row r="14" spans="1:20" ht="15" customHeight="1" x14ac:dyDescent="0.25">
      <c r="A14" s="4" t="s">
        <v>2489</v>
      </c>
      <c r="B14" s="2" t="s">
        <v>2487</v>
      </c>
      <c r="C14" s="2" t="s">
        <v>2488</v>
      </c>
      <c r="D14" s="5" t="s">
        <v>2490</v>
      </c>
      <c r="E14" s="4" t="s">
        <v>2491</v>
      </c>
      <c r="F14" s="6">
        <v>14221323</v>
      </c>
      <c r="G14" s="3">
        <v>14221323</v>
      </c>
      <c r="H14" s="7">
        <v>733003144364</v>
      </c>
      <c r="I14" s="8" t="s">
        <v>1386</v>
      </c>
      <c r="J14" s="4">
        <v>1</v>
      </c>
      <c r="K14" s="9">
        <v>12.99</v>
      </c>
      <c r="L14" s="9">
        <v>12.99</v>
      </c>
      <c r="M14" s="4" t="s">
        <v>3096</v>
      </c>
      <c r="N14" s="4" t="s">
        <v>2665</v>
      </c>
      <c r="O14" s="4" t="s">
        <v>2566</v>
      </c>
      <c r="P14" s="4" t="s">
        <v>2503</v>
      </c>
      <c r="Q14" s="4" t="s">
        <v>2504</v>
      </c>
      <c r="R14" s="4"/>
      <c r="S14" s="4"/>
      <c r="T14" s="4" t="str">
        <f>HYPERLINK("http://slimages.macys.com/is/image/MCY/19218033 ")</f>
        <v xml:space="preserve">http://slimages.macys.com/is/image/MCY/19218033 </v>
      </c>
    </row>
    <row r="15" spans="1:20" ht="15" customHeight="1" x14ac:dyDescent="0.25">
      <c r="A15" s="4" t="s">
        <v>2489</v>
      </c>
      <c r="B15" s="2" t="s">
        <v>2487</v>
      </c>
      <c r="C15" s="2" t="s">
        <v>2488</v>
      </c>
      <c r="D15" s="5" t="s">
        <v>2490</v>
      </c>
      <c r="E15" s="4" t="s">
        <v>2491</v>
      </c>
      <c r="F15" s="6">
        <v>14221323</v>
      </c>
      <c r="G15" s="3">
        <v>14221323</v>
      </c>
      <c r="H15" s="7">
        <v>733004297793</v>
      </c>
      <c r="I15" s="8" t="s">
        <v>1380</v>
      </c>
      <c r="J15" s="4">
        <v>1</v>
      </c>
      <c r="K15" s="9">
        <v>27.99</v>
      </c>
      <c r="L15" s="9">
        <v>27.99</v>
      </c>
      <c r="M15" s="4" t="s">
        <v>2949</v>
      </c>
      <c r="N15" s="4" t="s">
        <v>2561</v>
      </c>
      <c r="O15" s="4" t="s">
        <v>2555</v>
      </c>
      <c r="P15" s="4" t="s">
        <v>2515</v>
      </c>
      <c r="Q15" s="4" t="s">
        <v>2672</v>
      </c>
      <c r="R15" s="4"/>
      <c r="S15" s="4"/>
      <c r="T15" s="4" t="str">
        <f>HYPERLINK("http://slimages.macys.com/is/image/MCY/20143278 ")</f>
        <v xml:space="preserve">http://slimages.macys.com/is/image/MCY/20143278 </v>
      </c>
    </row>
    <row r="16" spans="1:20" ht="15" customHeight="1" x14ac:dyDescent="0.25">
      <c r="A16" s="4" t="s">
        <v>2489</v>
      </c>
      <c r="B16" s="2" t="s">
        <v>2487</v>
      </c>
      <c r="C16" s="2" t="s">
        <v>2488</v>
      </c>
      <c r="D16" s="5" t="s">
        <v>2490</v>
      </c>
      <c r="E16" s="4" t="s">
        <v>2491</v>
      </c>
      <c r="F16" s="6">
        <v>14221323</v>
      </c>
      <c r="G16" s="3">
        <v>14221323</v>
      </c>
      <c r="H16" s="7">
        <v>46094635346</v>
      </c>
      <c r="I16" s="8" t="s">
        <v>1080</v>
      </c>
      <c r="J16" s="4">
        <v>1</v>
      </c>
      <c r="K16" s="9">
        <v>11.99</v>
      </c>
      <c r="L16" s="9">
        <v>11.99</v>
      </c>
      <c r="M16" s="4" t="s">
        <v>3165</v>
      </c>
      <c r="N16" s="4" t="s">
        <v>2501</v>
      </c>
      <c r="O16" s="4" t="s">
        <v>2671</v>
      </c>
      <c r="P16" s="4" t="s">
        <v>2666</v>
      </c>
      <c r="Q16" s="4" t="s">
        <v>2667</v>
      </c>
      <c r="R16" s="4" t="s">
        <v>2552</v>
      </c>
      <c r="S16" s="4" t="s">
        <v>3157</v>
      </c>
      <c r="T16" s="4" t="str">
        <f>HYPERLINK("http://slimages.macys.com/is/image/MCY/8349880 ")</f>
        <v xml:space="preserve">http://slimages.macys.com/is/image/MCY/8349880 </v>
      </c>
    </row>
    <row r="17" spans="1:20" ht="15" customHeight="1" x14ac:dyDescent="0.25">
      <c r="A17" s="4" t="s">
        <v>2489</v>
      </c>
      <c r="B17" s="2" t="s">
        <v>2487</v>
      </c>
      <c r="C17" s="2" t="s">
        <v>2488</v>
      </c>
      <c r="D17" s="5" t="s">
        <v>2490</v>
      </c>
      <c r="E17" s="4" t="s">
        <v>2491</v>
      </c>
      <c r="F17" s="6">
        <v>14221323</v>
      </c>
      <c r="G17" s="3">
        <v>14221323</v>
      </c>
      <c r="H17" s="7">
        <v>762120020176</v>
      </c>
      <c r="I17" s="8" t="s">
        <v>1254</v>
      </c>
      <c r="J17" s="4">
        <v>1</v>
      </c>
      <c r="K17" s="9">
        <v>6.99</v>
      </c>
      <c r="L17" s="9">
        <v>6.99</v>
      </c>
      <c r="M17" s="4" t="s">
        <v>3235</v>
      </c>
      <c r="N17" s="4" t="s">
        <v>2638</v>
      </c>
      <c r="O17" s="4" t="s">
        <v>2493</v>
      </c>
      <c r="P17" s="4" t="s">
        <v>2503</v>
      </c>
      <c r="Q17" s="4" t="s">
        <v>2504</v>
      </c>
      <c r="R17" s="4"/>
      <c r="S17" s="4"/>
      <c r="T17" s="4" t="str">
        <f>HYPERLINK("http://slimages.macys.com/is/image/MCY/20436495 ")</f>
        <v xml:space="preserve">http://slimages.macys.com/is/image/MCY/20436495 </v>
      </c>
    </row>
    <row r="18" spans="1:20" ht="15" customHeight="1" x14ac:dyDescent="0.25">
      <c r="A18" s="4" t="s">
        <v>2489</v>
      </c>
      <c r="B18" s="2" t="s">
        <v>2487</v>
      </c>
      <c r="C18" s="2" t="s">
        <v>2488</v>
      </c>
      <c r="D18" s="5" t="s">
        <v>2490</v>
      </c>
      <c r="E18" s="4" t="s">
        <v>2491</v>
      </c>
      <c r="F18" s="6">
        <v>14221323</v>
      </c>
      <c r="G18" s="3">
        <v>14221323</v>
      </c>
      <c r="H18" s="7">
        <v>194257518767</v>
      </c>
      <c r="I18" s="8" t="s">
        <v>2099</v>
      </c>
      <c r="J18" s="4">
        <v>1</v>
      </c>
      <c r="K18" s="9">
        <v>8.25</v>
      </c>
      <c r="L18" s="9">
        <v>8.25</v>
      </c>
      <c r="M18" s="4" t="s">
        <v>3274</v>
      </c>
      <c r="N18" s="4" t="s">
        <v>2514</v>
      </c>
      <c r="O18" s="4">
        <v>6</v>
      </c>
      <c r="P18" s="4" t="s">
        <v>2619</v>
      </c>
      <c r="Q18" s="4" t="s">
        <v>2654</v>
      </c>
      <c r="R18" s="4"/>
      <c r="S18" s="4"/>
      <c r="T18" s="4" t="str">
        <f>HYPERLINK("http://slimages.macys.com/is/image/MCY/20099679 ")</f>
        <v xml:space="preserve">http://slimages.macys.com/is/image/MCY/20099679 </v>
      </c>
    </row>
    <row r="19" spans="1:20" ht="15" customHeight="1" x14ac:dyDescent="0.25">
      <c r="A19" s="4" t="s">
        <v>2489</v>
      </c>
      <c r="B19" s="2" t="s">
        <v>2487</v>
      </c>
      <c r="C19" s="2" t="s">
        <v>2488</v>
      </c>
      <c r="D19" s="5" t="s">
        <v>2490</v>
      </c>
      <c r="E19" s="4" t="s">
        <v>2491</v>
      </c>
      <c r="F19" s="6">
        <v>14221323</v>
      </c>
      <c r="G19" s="3">
        <v>14221323</v>
      </c>
      <c r="H19" s="7">
        <v>733002399055</v>
      </c>
      <c r="I19" s="8" t="s">
        <v>2362</v>
      </c>
      <c r="J19" s="4">
        <v>1</v>
      </c>
      <c r="K19" s="9">
        <v>21.99</v>
      </c>
      <c r="L19" s="9">
        <v>21.99</v>
      </c>
      <c r="M19" s="4" t="s">
        <v>2363</v>
      </c>
      <c r="N19" s="4"/>
      <c r="O19" s="4" t="s">
        <v>2519</v>
      </c>
      <c r="P19" s="4" t="s">
        <v>2543</v>
      </c>
      <c r="Q19" s="4" t="s">
        <v>2528</v>
      </c>
      <c r="R19" s="4"/>
      <c r="S19" s="4"/>
      <c r="T19" s="4" t="str">
        <f>HYPERLINK("http://slimages.macys.com/is/image/MCY/18721918 ")</f>
        <v xml:space="preserve">http://slimages.macys.com/is/image/MCY/18721918 </v>
      </c>
    </row>
    <row r="20" spans="1:20" ht="15" customHeight="1" x14ac:dyDescent="0.25">
      <c r="A20" s="4" t="s">
        <v>2489</v>
      </c>
      <c r="B20" s="2" t="s">
        <v>2487</v>
      </c>
      <c r="C20" s="2" t="s">
        <v>2488</v>
      </c>
      <c r="D20" s="5" t="s">
        <v>2490</v>
      </c>
      <c r="E20" s="4" t="s">
        <v>2491</v>
      </c>
      <c r="F20" s="6">
        <v>14221323</v>
      </c>
      <c r="G20" s="3">
        <v>14221323</v>
      </c>
      <c r="H20" s="7">
        <v>733003625504</v>
      </c>
      <c r="I20" s="8" t="s">
        <v>1081</v>
      </c>
      <c r="J20" s="4">
        <v>2</v>
      </c>
      <c r="K20" s="9">
        <v>22.99</v>
      </c>
      <c r="L20" s="9">
        <v>45.98</v>
      </c>
      <c r="M20" s="4" t="s">
        <v>1082</v>
      </c>
      <c r="N20" s="4" t="s">
        <v>2523</v>
      </c>
      <c r="O20" s="4" t="s">
        <v>2629</v>
      </c>
      <c r="P20" s="4" t="s">
        <v>2520</v>
      </c>
      <c r="Q20" s="4" t="s">
        <v>2528</v>
      </c>
      <c r="R20" s="4"/>
      <c r="S20" s="4"/>
      <c r="T20" s="4" t="str">
        <f>HYPERLINK("http://slimages.macys.com/is/image/MCY/19568498 ")</f>
        <v xml:space="preserve">http://slimages.macys.com/is/image/MCY/19568498 </v>
      </c>
    </row>
    <row r="21" spans="1:20" ht="15" customHeight="1" x14ac:dyDescent="0.25">
      <c r="A21" s="4" t="s">
        <v>2489</v>
      </c>
      <c r="B21" s="2" t="s">
        <v>2487</v>
      </c>
      <c r="C21" s="2" t="s">
        <v>2488</v>
      </c>
      <c r="D21" s="5" t="s">
        <v>2490</v>
      </c>
      <c r="E21" s="4" t="s">
        <v>2491</v>
      </c>
      <c r="F21" s="6">
        <v>14221323</v>
      </c>
      <c r="G21" s="3">
        <v>14221323</v>
      </c>
      <c r="H21" s="7">
        <v>196027056035</v>
      </c>
      <c r="I21" s="8" t="s">
        <v>1083</v>
      </c>
      <c r="J21" s="4">
        <v>2</v>
      </c>
      <c r="K21" s="9">
        <v>17.989999999999998</v>
      </c>
      <c r="L21" s="9">
        <v>35.979999999999997</v>
      </c>
      <c r="M21" s="4" t="s">
        <v>1084</v>
      </c>
      <c r="N21" s="4" t="s">
        <v>2544</v>
      </c>
      <c r="O21" s="4" t="s">
        <v>2705</v>
      </c>
      <c r="P21" s="4" t="s">
        <v>2569</v>
      </c>
      <c r="Q21" s="4" t="s">
        <v>2590</v>
      </c>
      <c r="R21" s="4"/>
      <c r="S21" s="4"/>
      <c r="T21" s="4"/>
    </row>
    <row r="22" spans="1:20" ht="15" customHeight="1" x14ac:dyDescent="0.25">
      <c r="A22" s="4" t="s">
        <v>2489</v>
      </c>
      <c r="B22" s="2" t="s">
        <v>2487</v>
      </c>
      <c r="C22" s="2" t="s">
        <v>2488</v>
      </c>
      <c r="D22" s="5" t="s">
        <v>2490</v>
      </c>
      <c r="E22" s="4" t="s">
        <v>2491</v>
      </c>
      <c r="F22" s="6">
        <v>14221323</v>
      </c>
      <c r="G22" s="3">
        <v>14221323</v>
      </c>
      <c r="H22" s="7">
        <v>733004723117</v>
      </c>
      <c r="I22" s="8" t="s">
        <v>776</v>
      </c>
      <c r="J22" s="4">
        <v>1</v>
      </c>
      <c r="K22" s="9">
        <v>25.99</v>
      </c>
      <c r="L22" s="9">
        <v>25.99</v>
      </c>
      <c r="M22" s="4" t="s">
        <v>3178</v>
      </c>
      <c r="N22" s="4" t="s">
        <v>2518</v>
      </c>
      <c r="O22" s="4" t="s">
        <v>2502</v>
      </c>
      <c r="P22" s="4" t="s">
        <v>2503</v>
      </c>
      <c r="Q22" s="4" t="s">
        <v>2504</v>
      </c>
      <c r="R22" s="4"/>
      <c r="S22" s="4"/>
      <c r="T22" s="4" t="str">
        <f>HYPERLINK("http://slimages.macys.com/is/image/MCY/1041651 ")</f>
        <v xml:space="preserve">http://slimages.macys.com/is/image/MCY/1041651 </v>
      </c>
    </row>
    <row r="23" spans="1:20" ht="15" customHeight="1" x14ac:dyDescent="0.25">
      <c r="A23" s="4" t="s">
        <v>2489</v>
      </c>
      <c r="B23" s="2" t="s">
        <v>2487</v>
      </c>
      <c r="C23" s="2" t="s">
        <v>2488</v>
      </c>
      <c r="D23" s="5" t="s">
        <v>2490</v>
      </c>
      <c r="E23" s="4" t="s">
        <v>2491</v>
      </c>
      <c r="F23" s="6">
        <v>14221323</v>
      </c>
      <c r="G23" s="3">
        <v>14221323</v>
      </c>
      <c r="H23" s="7">
        <v>885031132094</v>
      </c>
      <c r="I23" s="8" t="s">
        <v>1085</v>
      </c>
      <c r="J23" s="4">
        <v>1</v>
      </c>
      <c r="K23" s="9">
        <v>59.5</v>
      </c>
      <c r="L23" s="9">
        <v>59.5</v>
      </c>
      <c r="M23" s="4">
        <v>322713069004</v>
      </c>
      <c r="N23" s="4" t="s">
        <v>2731</v>
      </c>
      <c r="O23" s="4">
        <v>5</v>
      </c>
      <c r="P23" s="4" t="s">
        <v>2615</v>
      </c>
      <c r="Q23" s="4" t="s">
        <v>2616</v>
      </c>
      <c r="R23" s="4"/>
      <c r="S23" s="4"/>
      <c r="T23" s="4" t="str">
        <f>HYPERLINK("http://slimages.macys.com/is/image/MCY/20141479 ")</f>
        <v xml:space="preserve">http://slimages.macys.com/is/image/MCY/20141479 </v>
      </c>
    </row>
    <row r="24" spans="1:20" ht="15" customHeight="1" x14ac:dyDescent="0.25">
      <c r="A24" s="4" t="s">
        <v>2489</v>
      </c>
      <c r="B24" s="2" t="s">
        <v>2487</v>
      </c>
      <c r="C24" s="2" t="s">
        <v>2488</v>
      </c>
      <c r="D24" s="5" t="s">
        <v>2490</v>
      </c>
      <c r="E24" s="4" t="s">
        <v>2491</v>
      </c>
      <c r="F24" s="6">
        <v>14221323</v>
      </c>
      <c r="G24" s="3">
        <v>14221323</v>
      </c>
      <c r="H24" s="7">
        <v>733004801181</v>
      </c>
      <c r="I24" s="8" t="s">
        <v>1825</v>
      </c>
      <c r="J24" s="4">
        <v>1</v>
      </c>
      <c r="K24" s="9">
        <v>12.99</v>
      </c>
      <c r="L24" s="9">
        <v>12.99</v>
      </c>
      <c r="M24" s="4" t="s">
        <v>1792</v>
      </c>
      <c r="N24" s="4" t="s">
        <v>2548</v>
      </c>
      <c r="O24" s="4">
        <v>6</v>
      </c>
      <c r="P24" s="4" t="s">
        <v>2602</v>
      </c>
      <c r="Q24" s="4" t="s">
        <v>2528</v>
      </c>
      <c r="R24" s="4"/>
      <c r="S24" s="4"/>
      <c r="T24" s="4" t="str">
        <f>HYPERLINK("http://slimages.macys.com/is/image/MCY/1088560 ")</f>
        <v xml:space="preserve">http://slimages.macys.com/is/image/MCY/1088560 </v>
      </c>
    </row>
    <row r="25" spans="1:20" ht="15" customHeight="1" x14ac:dyDescent="0.25">
      <c r="A25" s="4" t="s">
        <v>2489</v>
      </c>
      <c r="B25" s="2" t="s">
        <v>2487</v>
      </c>
      <c r="C25" s="2" t="s">
        <v>2488</v>
      </c>
      <c r="D25" s="5" t="s">
        <v>2490</v>
      </c>
      <c r="E25" s="4" t="s">
        <v>2491</v>
      </c>
      <c r="F25" s="6">
        <v>14221323</v>
      </c>
      <c r="G25" s="3">
        <v>14221323</v>
      </c>
      <c r="H25" s="7">
        <v>733004781063</v>
      </c>
      <c r="I25" s="8" t="s">
        <v>2014</v>
      </c>
      <c r="J25" s="4">
        <v>1</v>
      </c>
      <c r="K25" s="9">
        <v>11.99</v>
      </c>
      <c r="L25" s="9">
        <v>11.99</v>
      </c>
      <c r="M25" s="4" t="s">
        <v>3083</v>
      </c>
      <c r="N25" s="4" t="s">
        <v>2561</v>
      </c>
      <c r="O25" s="4" t="s">
        <v>2650</v>
      </c>
      <c r="P25" s="4" t="s">
        <v>2602</v>
      </c>
      <c r="Q25" s="4" t="s">
        <v>2528</v>
      </c>
      <c r="R25" s="4"/>
      <c r="S25" s="4"/>
      <c r="T25" s="4" t="str">
        <f>HYPERLINK("http://slimages.macys.com/is/image/MCY/20450174 ")</f>
        <v xml:space="preserve">http://slimages.macys.com/is/image/MCY/20450174 </v>
      </c>
    </row>
    <row r="26" spans="1:20" ht="15" customHeight="1" x14ac:dyDescent="0.25">
      <c r="A26" s="4" t="s">
        <v>2489</v>
      </c>
      <c r="B26" s="2" t="s">
        <v>2487</v>
      </c>
      <c r="C26" s="2" t="s">
        <v>2488</v>
      </c>
      <c r="D26" s="5" t="s">
        <v>2490</v>
      </c>
      <c r="E26" s="4" t="s">
        <v>2491</v>
      </c>
      <c r="F26" s="6">
        <v>14221323</v>
      </c>
      <c r="G26" s="3">
        <v>14221323</v>
      </c>
      <c r="H26" s="7">
        <v>733004085918</v>
      </c>
      <c r="I26" s="8" t="s">
        <v>893</v>
      </c>
      <c r="J26" s="4">
        <v>1</v>
      </c>
      <c r="K26" s="9">
        <v>21.99</v>
      </c>
      <c r="L26" s="9">
        <v>21.99</v>
      </c>
      <c r="M26" s="4" t="s">
        <v>1573</v>
      </c>
      <c r="N26" s="4" t="s">
        <v>2567</v>
      </c>
      <c r="O26" s="4" t="s">
        <v>2519</v>
      </c>
      <c r="P26" s="4" t="s">
        <v>2543</v>
      </c>
      <c r="Q26" s="4" t="s">
        <v>2528</v>
      </c>
      <c r="R26" s="4"/>
      <c r="S26" s="4"/>
      <c r="T26" s="4" t="str">
        <f>HYPERLINK("http://slimages.macys.com/is/image/MCY/19988444 ")</f>
        <v xml:space="preserve">http://slimages.macys.com/is/image/MCY/19988444 </v>
      </c>
    </row>
    <row r="27" spans="1:20" ht="15" customHeight="1" x14ac:dyDescent="0.25">
      <c r="A27" s="4" t="s">
        <v>2489</v>
      </c>
      <c r="B27" s="2" t="s">
        <v>2487</v>
      </c>
      <c r="C27" s="2" t="s">
        <v>2488</v>
      </c>
      <c r="D27" s="5" t="s">
        <v>2490</v>
      </c>
      <c r="E27" s="4" t="s">
        <v>2491</v>
      </c>
      <c r="F27" s="6">
        <v>14221323</v>
      </c>
      <c r="G27" s="3">
        <v>14221323</v>
      </c>
      <c r="H27" s="7">
        <v>195883922911</v>
      </c>
      <c r="I27" s="8" t="s">
        <v>1627</v>
      </c>
      <c r="J27" s="4">
        <v>1</v>
      </c>
      <c r="K27" s="9">
        <v>8.31</v>
      </c>
      <c r="L27" s="9">
        <v>8.31</v>
      </c>
      <c r="M27" s="4" t="s">
        <v>3046</v>
      </c>
      <c r="N27" s="4" t="s">
        <v>2638</v>
      </c>
      <c r="O27" s="4">
        <v>5</v>
      </c>
      <c r="P27" s="4" t="s">
        <v>2506</v>
      </c>
      <c r="Q27" s="4" t="s">
        <v>2527</v>
      </c>
      <c r="R27" s="4"/>
      <c r="S27" s="4"/>
      <c r="T27" s="4" t="str">
        <f>HYPERLINK("http://slimages.macys.com/is/image/MCY/20876640 ")</f>
        <v xml:space="preserve">http://slimages.macys.com/is/image/MCY/20876640 </v>
      </c>
    </row>
    <row r="28" spans="1:20" ht="15" customHeight="1" x14ac:dyDescent="0.25">
      <c r="A28" s="4" t="s">
        <v>2489</v>
      </c>
      <c r="B28" s="2" t="s">
        <v>2487</v>
      </c>
      <c r="C28" s="2" t="s">
        <v>2488</v>
      </c>
      <c r="D28" s="5" t="s">
        <v>2490</v>
      </c>
      <c r="E28" s="4" t="s">
        <v>2491</v>
      </c>
      <c r="F28" s="6">
        <v>14221323</v>
      </c>
      <c r="G28" s="3">
        <v>14221323</v>
      </c>
      <c r="H28" s="7">
        <v>733004591655</v>
      </c>
      <c r="I28" s="8" t="s">
        <v>3009</v>
      </c>
      <c r="J28" s="4">
        <v>1</v>
      </c>
      <c r="K28" s="9">
        <v>26.99</v>
      </c>
      <c r="L28" s="9">
        <v>26.99</v>
      </c>
      <c r="M28" s="4">
        <v>10013096900</v>
      </c>
      <c r="N28" s="4" t="s">
        <v>2611</v>
      </c>
      <c r="O28" s="4" t="s">
        <v>2493</v>
      </c>
      <c r="P28" s="4" t="s">
        <v>2503</v>
      </c>
      <c r="Q28" s="4" t="s">
        <v>2504</v>
      </c>
      <c r="R28" s="4"/>
      <c r="S28" s="4"/>
      <c r="T28" s="4" t="str">
        <f>HYPERLINK("http://slimages.macys.com/is/image/MCY/19754453 ")</f>
        <v xml:space="preserve">http://slimages.macys.com/is/image/MCY/19754453 </v>
      </c>
    </row>
    <row r="29" spans="1:20" ht="15" customHeight="1" x14ac:dyDescent="0.25">
      <c r="A29" s="4" t="s">
        <v>2489</v>
      </c>
      <c r="B29" s="2" t="s">
        <v>2487</v>
      </c>
      <c r="C29" s="2" t="s">
        <v>2488</v>
      </c>
      <c r="D29" s="5" t="s">
        <v>2490</v>
      </c>
      <c r="E29" s="4" t="s">
        <v>2491</v>
      </c>
      <c r="F29" s="6">
        <v>14221323</v>
      </c>
      <c r="G29" s="3">
        <v>14221323</v>
      </c>
      <c r="H29" s="7">
        <v>882925927989</v>
      </c>
      <c r="I29" s="8" t="s">
        <v>1086</v>
      </c>
      <c r="J29" s="4">
        <v>1</v>
      </c>
      <c r="K29" s="9">
        <v>35</v>
      </c>
      <c r="L29" s="9">
        <v>35</v>
      </c>
      <c r="M29" s="4">
        <v>321853904003</v>
      </c>
      <c r="N29" s="4" t="s">
        <v>2567</v>
      </c>
      <c r="O29" s="4" t="s">
        <v>2524</v>
      </c>
      <c r="P29" s="4" t="s">
        <v>2615</v>
      </c>
      <c r="Q29" s="4" t="s">
        <v>2616</v>
      </c>
      <c r="R29" s="4"/>
      <c r="S29" s="4"/>
      <c r="T29" s="4" t="str">
        <f>HYPERLINK("http://slimages.macys.com/is/image/MCY/20342387 ")</f>
        <v xml:space="preserve">http://slimages.macys.com/is/image/MCY/20342387 </v>
      </c>
    </row>
    <row r="30" spans="1:20" ht="15" customHeight="1" x14ac:dyDescent="0.25">
      <c r="A30" s="4" t="s">
        <v>2489</v>
      </c>
      <c r="B30" s="2" t="s">
        <v>2487</v>
      </c>
      <c r="C30" s="2" t="s">
        <v>2488</v>
      </c>
      <c r="D30" s="5" t="s">
        <v>2490</v>
      </c>
      <c r="E30" s="4" t="s">
        <v>2491</v>
      </c>
      <c r="F30" s="6">
        <v>14221323</v>
      </c>
      <c r="G30" s="3">
        <v>14221323</v>
      </c>
      <c r="H30" s="7">
        <v>733004090370</v>
      </c>
      <c r="I30" s="8" t="s">
        <v>1087</v>
      </c>
      <c r="J30" s="4">
        <v>1</v>
      </c>
      <c r="K30" s="9">
        <v>7.99</v>
      </c>
      <c r="L30" s="9">
        <v>7.99</v>
      </c>
      <c r="M30" s="4" t="s">
        <v>1558</v>
      </c>
      <c r="N30" s="4" t="s">
        <v>2642</v>
      </c>
      <c r="O30" s="4" t="s">
        <v>2629</v>
      </c>
      <c r="P30" s="4" t="s">
        <v>2602</v>
      </c>
      <c r="Q30" s="4" t="s">
        <v>2528</v>
      </c>
      <c r="R30" s="4"/>
      <c r="S30" s="4"/>
      <c r="T30" s="4" t="str">
        <f>HYPERLINK("http://slimages.macys.com/is/image/MCY/19988294 ")</f>
        <v xml:space="preserve">http://slimages.macys.com/is/image/MCY/19988294 </v>
      </c>
    </row>
    <row r="31" spans="1:20" ht="15" customHeight="1" x14ac:dyDescent="0.25">
      <c r="A31" s="4" t="s">
        <v>2489</v>
      </c>
      <c r="B31" s="2" t="s">
        <v>2487</v>
      </c>
      <c r="C31" s="2" t="s">
        <v>2488</v>
      </c>
      <c r="D31" s="5" t="s">
        <v>2490</v>
      </c>
      <c r="E31" s="4" t="s">
        <v>2491</v>
      </c>
      <c r="F31" s="6">
        <v>14221323</v>
      </c>
      <c r="G31" s="3">
        <v>14221323</v>
      </c>
      <c r="H31" s="7">
        <v>762120113045</v>
      </c>
      <c r="I31" s="8" t="s">
        <v>1088</v>
      </c>
      <c r="J31" s="4">
        <v>1</v>
      </c>
      <c r="K31" s="9">
        <v>6.99</v>
      </c>
      <c r="L31" s="9">
        <v>6.99</v>
      </c>
      <c r="M31" s="4" t="s">
        <v>3270</v>
      </c>
      <c r="N31" s="4" t="s">
        <v>2518</v>
      </c>
      <c r="O31" s="4" t="s">
        <v>2566</v>
      </c>
      <c r="P31" s="4" t="s">
        <v>2503</v>
      </c>
      <c r="Q31" s="4" t="s">
        <v>2504</v>
      </c>
      <c r="R31" s="4"/>
      <c r="S31" s="4"/>
      <c r="T31" s="4" t="str">
        <f>HYPERLINK("http://slimages.macys.com/is/image/MCY/19977414 ")</f>
        <v xml:space="preserve">http://slimages.macys.com/is/image/MCY/19977414 </v>
      </c>
    </row>
    <row r="32" spans="1:20" ht="15" customHeight="1" x14ac:dyDescent="0.25">
      <c r="A32" s="4" t="s">
        <v>2489</v>
      </c>
      <c r="B32" s="2" t="s">
        <v>2487</v>
      </c>
      <c r="C32" s="2" t="s">
        <v>2488</v>
      </c>
      <c r="D32" s="5" t="s">
        <v>2490</v>
      </c>
      <c r="E32" s="4" t="s">
        <v>2491</v>
      </c>
      <c r="F32" s="6">
        <v>14221323</v>
      </c>
      <c r="G32" s="3">
        <v>14221323</v>
      </c>
      <c r="H32" s="7">
        <v>762120113250</v>
      </c>
      <c r="I32" s="8" t="s">
        <v>1089</v>
      </c>
      <c r="J32" s="4">
        <v>1</v>
      </c>
      <c r="K32" s="9">
        <v>6.99</v>
      </c>
      <c r="L32" s="9">
        <v>6.99</v>
      </c>
      <c r="M32" s="4" t="s">
        <v>2660</v>
      </c>
      <c r="N32" s="4" t="s">
        <v>2598</v>
      </c>
      <c r="O32" s="4" t="s">
        <v>2559</v>
      </c>
      <c r="P32" s="4" t="s">
        <v>2503</v>
      </c>
      <c r="Q32" s="4" t="s">
        <v>2504</v>
      </c>
      <c r="R32" s="4"/>
      <c r="S32" s="4"/>
      <c r="T32" s="4" t="str">
        <f>HYPERLINK("http://slimages.macys.com/is/image/MCY/19977390 ")</f>
        <v xml:space="preserve">http://slimages.macys.com/is/image/MCY/19977390 </v>
      </c>
    </row>
    <row r="33" spans="1:20" ht="15" customHeight="1" x14ac:dyDescent="0.25">
      <c r="A33" s="4" t="s">
        <v>2489</v>
      </c>
      <c r="B33" s="2" t="s">
        <v>2487</v>
      </c>
      <c r="C33" s="2" t="s">
        <v>2488</v>
      </c>
      <c r="D33" s="5" t="s">
        <v>2490</v>
      </c>
      <c r="E33" s="4" t="s">
        <v>2491</v>
      </c>
      <c r="F33" s="6">
        <v>14221323</v>
      </c>
      <c r="G33" s="3">
        <v>14221323</v>
      </c>
      <c r="H33" s="7">
        <v>762120113038</v>
      </c>
      <c r="I33" s="8" t="s">
        <v>2120</v>
      </c>
      <c r="J33" s="4">
        <v>1</v>
      </c>
      <c r="K33" s="9">
        <v>6.99</v>
      </c>
      <c r="L33" s="9">
        <v>6.99</v>
      </c>
      <c r="M33" s="4" t="s">
        <v>3270</v>
      </c>
      <c r="N33" s="4" t="s">
        <v>2518</v>
      </c>
      <c r="O33" s="4" t="s">
        <v>2601</v>
      </c>
      <c r="P33" s="4" t="s">
        <v>2503</v>
      </c>
      <c r="Q33" s="4" t="s">
        <v>2504</v>
      </c>
      <c r="R33" s="4"/>
      <c r="S33" s="4"/>
      <c r="T33" s="4" t="str">
        <f>HYPERLINK("http://slimages.macys.com/is/image/MCY/19977414 ")</f>
        <v xml:space="preserve">http://slimages.macys.com/is/image/MCY/19977414 </v>
      </c>
    </row>
    <row r="34" spans="1:20" ht="15" customHeight="1" x14ac:dyDescent="0.25">
      <c r="A34" s="4" t="s">
        <v>2489</v>
      </c>
      <c r="B34" s="2" t="s">
        <v>2487</v>
      </c>
      <c r="C34" s="2" t="s">
        <v>2488</v>
      </c>
      <c r="D34" s="5" t="s">
        <v>2490</v>
      </c>
      <c r="E34" s="4" t="s">
        <v>2491</v>
      </c>
      <c r="F34" s="6">
        <v>14221323</v>
      </c>
      <c r="G34" s="3">
        <v>14221323</v>
      </c>
      <c r="H34" s="7">
        <v>196027072332</v>
      </c>
      <c r="I34" s="8" t="s">
        <v>1090</v>
      </c>
      <c r="J34" s="4">
        <v>1</v>
      </c>
      <c r="K34" s="9">
        <v>19.989999999999998</v>
      </c>
      <c r="L34" s="9">
        <v>19.989999999999998</v>
      </c>
      <c r="M34" s="4" t="s">
        <v>2589</v>
      </c>
      <c r="N34" s="4" t="s">
        <v>2544</v>
      </c>
      <c r="O34" s="4">
        <v>6</v>
      </c>
      <c r="P34" s="4" t="s">
        <v>2569</v>
      </c>
      <c r="Q34" s="4" t="s">
        <v>2590</v>
      </c>
      <c r="R34" s="4"/>
      <c r="S34" s="4"/>
      <c r="T34" s="4" t="str">
        <f>HYPERLINK("http://slimages.macys.com/is/image/MCY/20662570 ")</f>
        <v xml:space="preserve">http://slimages.macys.com/is/image/MCY/20662570 </v>
      </c>
    </row>
    <row r="35" spans="1:20" ht="15" customHeight="1" x14ac:dyDescent="0.25">
      <c r="A35" s="4" t="s">
        <v>2489</v>
      </c>
      <c r="B35" s="2" t="s">
        <v>2487</v>
      </c>
      <c r="C35" s="2" t="s">
        <v>2488</v>
      </c>
      <c r="D35" s="5" t="s">
        <v>2490</v>
      </c>
      <c r="E35" s="4" t="s">
        <v>2491</v>
      </c>
      <c r="F35" s="6">
        <v>14221323</v>
      </c>
      <c r="G35" s="3">
        <v>14221323</v>
      </c>
      <c r="H35" s="7">
        <v>195883380636</v>
      </c>
      <c r="I35" s="8" t="s">
        <v>3106</v>
      </c>
      <c r="J35" s="4">
        <v>1</v>
      </c>
      <c r="K35" s="9">
        <v>8.99</v>
      </c>
      <c r="L35" s="9">
        <v>8.99</v>
      </c>
      <c r="M35" s="4" t="s">
        <v>3107</v>
      </c>
      <c r="N35" s="4" t="s">
        <v>2501</v>
      </c>
      <c r="O35" s="4">
        <v>2</v>
      </c>
      <c r="P35" s="4" t="s">
        <v>2506</v>
      </c>
      <c r="Q35" s="4" t="s">
        <v>2527</v>
      </c>
      <c r="R35" s="4"/>
      <c r="S35" s="4"/>
      <c r="T35" s="4" t="str">
        <f>HYPERLINK("http://slimages.macys.com/is/image/MCY/20192080 ")</f>
        <v xml:space="preserve">http://slimages.macys.com/is/image/MCY/20192080 </v>
      </c>
    </row>
    <row r="36" spans="1:20" ht="15" customHeight="1" x14ac:dyDescent="0.25">
      <c r="A36" s="4" t="s">
        <v>2489</v>
      </c>
      <c r="B36" s="2" t="s">
        <v>2487</v>
      </c>
      <c r="C36" s="2" t="s">
        <v>2488</v>
      </c>
      <c r="D36" s="5" t="s">
        <v>2490</v>
      </c>
      <c r="E36" s="4" t="s">
        <v>2491</v>
      </c>
      <c r="F36" s="6">
        <v>14221323</v>
      </c>
      <c r="G36" s="3">
        <v>14221323</v>
      </c>
      <c r="H36" s="7">
        <v>840144218639</v>
      </c>
      <c r="I36" s="8" t="s">
        <v>2668</v>
      </c>
      <c r="J36" s="4">
        <v>5</v>
      </c>
      <c r="K36" s="9">
        <v>15.99</v>
      </c>
      <c r="L36" s="9">
        <v>79.95</v>
      </c>
      <c r="M36" s="4" t="s">
        <v>3347</v>
      </c>
      <c r="N36" s="4"/>
      <c r="O36" s="4" t="s">
        <v>2669</v>
      </c>
      <c r="P36" s="4" t="s">
        <v>2539</v>
      </c>
      <c r="Q36" s="4" t="s">
        <v>2670</v>
      </c>
      <c r="R36" s="4"/>
      <c r="S36" s="4"/>
      <c r="T36" s="4" t="str">
        <f>HYPERLINK("http://slimages.macys.com/is/image/MCY/20138231 ")</f>
        <v xml:space="preserve">http://slimages.macys.com/is/image/MCY/20138231 </v>
      </c>
    </row>
    <row r="37" spans="1:20" ht="15" customHeight="1" x14ac:dyDescent="0.25">
      <c r="A37" s="4" t="s">
        <v>2489</v>
      </c>
      <c r="B37" s="2" t="s">
        <v>2487</v>
      </c>
      <c r="C37" s="2" t="s">
        <v>2488</v>
      </c>
      <c r="D37" s="5" t="s">
        <v>2490</v>
      </c>
      <c r="E37" s="4" t="s">
        <v>2491</v>
      </c>
      <c r="F37" s="6">
        <v>14221323</v>
      </c>
      <c r="G37" s="3">
        <v>14221323</v>
      </c>
      <c r="H37" s="7">
        <v>806409706273</v>
      </c>
      <c r="I37" s="8" t="s">
        <v>1578</v>
      </c>
      <c r="J37" s="4">
        <v>1</v>
      </c>
      <c r="K37" s="9">
        <v>20</v>
      </c>
      <c r="L37" s="9">
        <v>20</v>
      </c>
      <c r="M37" s="4" t="s">
        <v>1579</v>
      </c>
      <c r="N37" s="4" t="s">
        <v>2497</v>
      </c>
      <c r="O37" s="4" t="s">
        <v>2538</v>
      </c>
      <c r="P37" s="4" t="s">
        <v>2539</v>
      </c>
      <c r="Q37" s="4" t="s">
        <v>3208</v>
      </c>
      <c r="R37" s="4"/>
      <c r="S37" s="4"/>
      <c r="T37" s="4" t="str">
        <f>HYPERLINK("http://slimages.macys.com/is/image/MCY/20091874 ")</f>
        <v xml:space="preserve">http://slimages.macys.com/is/image/MCY/20091874 </v>
      </c>
    </row>
    <row r="38" spans="1:20" ht="15" customHeight="1" x14ac:dyDescent="0.25">
      <c r="A38" s="4" t="s">
        <v>2489</v>
      </c>
      <c r="B38" s="2" t="s">
        <v>2487</v>
      </c>
      <c r="C38" s="2" t="s">
        <v>2488</v>
      </c>
      <c r="D38" s="5" t="s">
        <v>2490</v>
      </c>
      <c r="E38" s="4" t="s">
        <v>2491</v>
      </c>
      <c r="F38" s="6">
        <v>14221323</v>
      </c>
      <c r="G38" s="3">
        <v>14221323</v>
      </c>
      <c r="H38" s="7">
        <v>195189297782</v>
      </c>
      <c r="I38" s="8" t="s">
        <v>3369</v>
      </c>
      <c r="J38" s="4">
        <v>1</v>
      </c>
      <c r="K38" s="9">
        <v>50</v>
      </c>
      <c r="L38" s="9">
        <v>50</v>
      </c>
      <c r="M38" s="4" t="s">
        <v>3039</v>
      </c>
      <c r="N38" s="4" t="s">
        <v>2567</v>
      </c>
      <c r="O38" s="4" t="s">
        <v>3370</v>
      </c>
      <c r="P38" s="4" t="s">
        <v>2510</v>
      </c>
      <c r="Q38" s="4" t="s">
        <v>2700</v>
      </c>
      <c r="R38" s="4" t="s">
        <v>2770</v>
      </c>
      <c r="S38" s="4" t="s">
        <v>3194</v>
      </c>
      <c r="T38" s="4" t="str">
        <f>HYPERLINK("http://images.bloomingdales.com/is/image/BLM/11133902 ")</f>
        <v xml:space="preserve">http://images.bloomingdales.com/is/image/BLM/11133902 </v>
      </c>
    </row>
    <row r="39" spans="1:20" ht="15" customHeight="1" x14ac:dyDescent="0.25">
      <c r="A39" s="4" t="s">
        <v>2489</v>
      </c>
      <c r="B39" s="2" t="s">
        <v>2487</v>
      </c>
      <c r="C39" s="2" t="s">
        <v>2488</v>
      </c>
      <c r="D39" s="5" t="s">
        <v>2490</v>
      </c>
      <c r="E39" s="4" t="s">
        <v>2491</v>
      </c>
      <c r="F39" s="6">
        <v>14221323</v>
      </c>
      <c r="G39" s="3">
        <v>14221323</v>
      </c>
      <c r="H39" s="7">
        <v>80538129718</v>
      </c>
      <c r="I39" s="8" t="s">
        <v>2811</v>
      </c>
      <c r="J39" s="4">
        <v>1</v>
      </c>
      <c r="K39" s="9">
        <v>11.99</v>
      </c>
      <c r="L39" s="9">
        <v>11.99</v>
      </c>
      <c r="M39" s="4">
        <v>64828</v>
      </c>
      <c r="N39" s="4" t="s">
        <v>2501</v>
      </c>
      <c r="O39" s="10">
        <v>45085</v>
      </c>
      <c r="P39" s="4" t="s">
        <v>2666</v>
      </c>
      <c r="Q39" s="4" t="s">
        <v>2778</v>
      </c>
      <c r="R39" s="4"/>
      <c r="S39" s="4"/>
      <c r="T39" s="4" t="str">
        <f>HYPERLINK("http://slimages.macys.com/is/image/MCY/19598496 ")</f>
        <v xml:space="preserve">http://slimages.macys.com/is/image/MCY/19598496 </v>
      </c>
    </row>
    <row r="40" spans="1:20" ht="15" customHeight="1" x14ac:dyDescent="0.25">
      <c r="A40" s="4" t="s">
        <v>2489</v>
      </c>
      <c r="B40" s="2" t="s">
        <v>2487</v>
      </c>
      <c r="C40" s="2" t="s">
        <v>2488</v>
      </c>
      <c r="D40" s="5" t="s">
        <v>2490</v>
      </c>
      <c r="E40" s="4" t="s">
        <v>2491</v>
      </c>
      <c r="F40" s="6">
        <v>14221323</v>
      </c>
      <c r="G40" s="3">
        <v>14221323</v>
      </c>
      <c r="H40" s="7">
        <v>193666517880</v>
      </c>
      <c r="I40" s="8" t="s">
        <v>3290</v>
      </c>
      <c r="J40" s="4">
        <v>2</v>
      </c>
      <c r="K40" s="9">
        <v>4.99</v>
      </c>
      <c r="L40" s="9">
        <v>9.98</v>
      </c>
      <c r="M40" s="4">
        <v>4114</v>
      </c>
      <c r="N40" s="4" t="s">
        <v>2762</v>
      </c>
      <c r="O40" s="4" t="s">
        <v>2555</v>
      </c>
      <c r="P40" s="4" t="s">
        <v>2666</v>
      </c>
      <c r="Q40" s="4" t="s">
        <v>2667</v>
      </c>
      <c r="R40" s="4" t="s">
        <v>2552</v>
      </c>
      <c r="S40" s="4" t="s">
        <v>3157</v>
      </c>
      <c r="T40" s="4" t="str">
        <f>HYPERLINK("http://slimages.macys.com/is/image/MCY/13050267 ")</f>
        <v xml:space="preserve">http://slimages.macys.com/is/image/MCY/13050267 </v>
      </c>
    </row>
    <row r="41" spans="1:20" ht="15" customHeight="1" x14ac:dyDescent="0.25">
      <c r="A41" s="4" t="s">
        <v>2489</v>
      </c>
      <c r="B41" s="2" t="s">
        <v>2487</v>
      </c>
      <c r="C41" s="2" t="s">
        <v>2488</v>
      </c>
      <c r="D41" s="5" t="s">
        <v>2490</v>
      </c>
      <c r="E41" s="4" t="s">
        <v>2491</v>
      </c>
      <c r="F41" s="6">
        <v>14221323</v>
      </c>
      <c r="G41" s="3">
        <v>14221323</v>
      </c>
      <c r="H41" s="7">
        <v>194135739178</v>
      </c>
      <c r="I41" s="8" t="s">
        <v>2055</v>
      </c>
      <c r="J41" s="4">
        <v>1</v>
      </c>
      <c r="K41" s="9">
        <v>14.62</v>
      </c>
      <c r="L41" s="9">
        <v>14.62</v>
      </c>
      <c r="M41" s="4" t="s">
        <v>2056</v>
      </c>
      <c r="N41" s="4"/>
      <c r="O41" s="4" t="s">
        <v>2587</v>
      </c>
      <c r="P41" s="4" t="s">
        <v>2657</v>
      </c>
      <c r="Q41" s="4" t="s">
        <v>2658</v>
      </c>
      <c r="R41" s="4"/>
      <c r="S41" s="4"/>
      <c r="T41" s="4" t="str">
        <f>HYPERLINK("http://slimages.macys.com/is/image/MCY/20194065 ")</f>
        <v xml:space="preserve">http://slimages.macys.com/is/image/MCY/20194065 </v>
      </c>
    </row>
    <row r="42" spans="1:20" ht="15" customHeight="1" x14ac:dyDescent="0.25">
      <c r="A42" s="4" t="s">
        <v>2489</v>
      </c>
      <c r="B42" s="2" t="s">
        <v>2487</v>
      </c>
      <c r="C42" s="2" t="s">
        <v>2488</v>
      </c>
      <c r="D42" s="5" t="s">
        <v>2490</v>
      </c>
      <c r="E42" s="4" t="s">
        <v>2491</v>
      </c>
      <c r="F42" s="6">
        <v>14221323</v>
      </c>
      <c r="G42" s="3">
        <v>14221323</v>
      </c>
      <c r="H42" s="7">
        <v>762120077569</v>
      </c>
      <c r="I42" s="8" t="s">
        <v>1091</v>
      </c>
      <c r="J42" s="4">
        <v>1</v>
      </c>
      <c r="K42" s="9">
        <v>7.99</v>
      </c>
      <c r="L42" s="9">
        <v>7.99</v>
      </c>
      <c r="M42" s="4" t="s">
        <v>2448</v>
      </c>
      <c r="N42" s="4" t="s">
        <v>2501</v>
      </c>
      <c r="O42" s="4" t="s">
        <v>2587</v>
      </c>
      <c r="P42" s="4" t="s">
        <v>2520</v>
      </c>
      <c r="Q42" s="4" t="s">
        <v>2528</v>
      </c>
      <c r="R42" s="4"/>
      <c r="S42" s="4"/>
      <c r="T42" s="4" t="str">
        <f>HYPERLINK("http://slimages.macys.com/is/image/MCY/20665865 ")</f>
        <v xml:space="preserve">http://slimages.macys.com/is/image/MCY/20665865 </v>
      </c>
    </row>
    <row r="43" spans="1:20" ht="15" customHeight="1" x14ac:dyDescent="0.25">
      <c r="A43" s="4" t="s">
        <v>2489</v>
      </c>
      <c r="B43" s="2" t="s">
        <v>2487</v>
      </c>
      <c r="C43" s="2" t="s">
        <v>2488</v>
      </c>
      <c r="D43" s="5" t="s">
        <v>2490</v>
      </c>
      <c r="E43" s="4" t="s">
        <v>2491</v>
      </c>
      <c r="F43" s="6">
        <v>14221323</v>
      </c>
      <c r="G43" s="3">
        <v>14221323</v>
      </c>
      <c r="H43" s="7">
        <v>195958078994</v>
      </c>
      <c r="I43" s="8" t="s">
        <v>1092</v>
      </c>
      <c r="J43" s="4">
        <v>1</v>
      </c>
      <c r="K43" s="9">
        <v>64.989999999999995</v>
      </c>
      <c r="L43" s="9">
        <v>64.989999999999995</v>
      </c>
      <c r="M43" s="4" t="s">
        <v>1093</v>
      </c>
      <c r="N43" s="4" t="s">
        <v>2492</v>
      </c>
      <c r="O43" s="4"/>
      <c r="P43" s="4" t="s">
        <v>2550</v>
      </c>
      <c r="Q43" s="4" t="s">
        <v>2130</v>
      </c>
      <c r="R43" s="4"/>
      <c r="S43" s="4"/>
      <c r="T43" s="4" t="str">
        <f>HYPERLINK("http://slimages.macys.com/is/image/MCY/19576088 ")</f>
        <v xml:space="preserve">http://slimages.macys.com/is/image/MCY/19576088 </v>
      </c>
    </row>
    <row r="44" spans="1:20" ht="15" customHeight="1" x14ac:dyDescent="0.25">
      <c r="A44" s="4" t="s">
        <v>2489</v>
      </c>
      <c r="B44" s="2" t="s">
        <v>2487</v>
      </c>
      <c r="C44" s="2" t="s">
        <v>2488</v>
      </c>
      <c r="D44" s="5" t="s">
        <v>2490</v>
      </c>
      <c r="E44" s="4" t="s">
        <v>2491</v>
      </c>
      <c r="F44" s="6">
        <v>14221323</v>
      </c>
      <c r="G44" s="3">
        <v>14221323</v>
      </c>
      <c r="H44" s="7">
        <v>194257385437</v>
      </c>
      <c r="I44" s="8" t="s">
        <v>1094</v>
      </c>
      <c r="J44" s="4">
        <v>1</v>
      </c>
      <c r="K44" s="9">
        <v>8.99</v>
      </c>
      <c r="L44" s="9">
        <v>8.99</v>
      </c>
      <c r="M44" s="4" t="s">
        <v>3116</v>
      </c>
      <c r="N44" s="4" t="s">
        <v>2567</v>
      </c>
      <c r="O44" s="4" t="s">
        <v>2532</v>
      </c>
      <c r="P44" s="4" t="s">
        <v>2499</v>
      </c>
      <c r="Q44" s="4" t="s">
        <v>2500</v>
      </c>
      <c r="R44" s="4"/>
      <c r="S44" s="4"/>
      <c r="T44" s="4" t="str">
        <f>HYPERLINK("http://slimages.macys.com/is/image/MCY/19933434 ")</f>
        <v xml:space="preserve">http://slimages.macys.com/is/image/MCY/19933434 </v>
      </c>
    </row>
    <row r="45" spans="1:20" ht="15" customHeight="1" x14ac:dyDescent="0.25">
      <c r="A45" s="4" t="s">
        <v>2489</v>
      </c>
      <c r="B45" s="2" t="s">
        <v>2487</v>
      </c>
      <c r="C45" s="2" t="s">
        <v>2488</v>
      </c>
      <c r="D45" s="5" t="s">
        <v>2490</v>
      </c>
      <c r="E45" s="4" t="s">
        <v>2491</v>
      </c>
      <c r="F45" s="6">
        <v>14221323</v>
      </c>
      <c r="G45" s="3">
        <v>14221323</v>
      </c>
      <c r="H45" s="7">
        <v>733004729621</v>
      </c>
      <c r="I45" s="8" t="s">
        <v>992</v>
      </c>
      <c r="J45" s="4">
        <v>1</v>
      </c>
      <c r="K45" s="9">
        <v>23.99</v>
      </c>
      <c r="L45" s="9">
        <v>23.99</v>
      </c>
      <c r="M45" s="4" t="s">
        <v>2085</v>
      </c>
      <c r="N45" s="4" t="s">
        <v>2497</v>
      </c>
      <c r="O45" s="4" t="s">
        <v>2555</v>
      </c>
      <c r="P45" s="4" t="s">
        <v>2520</v>
      </c>
      <c r="Q45" s="4" t="s">
        <v>2521</v>
      </c>
      <c r="R45" s="4"/>
      <c r="S45" s="4"/>
      <c r="T45" s="4" t="str">
        <f>HYPERLINK("http://slimages.macys.com/is/image/MCY/20433729 ")</f>
        <v xml:space="preserve">http://slimages.macys.com/is/image/MCY/20433729 </v>
      </c>
    </row>
    <row r="46" spans="1:20" ht="15" customHeight="1" x14ac:dyDescent="0.25">
      <c r="A46" s="4" t="s">
        <v>2489</v>
      </c>
      <c r="B46" s="2" t="s">
        <v>2487</v>
      </c>
      <c r="C46" s="2" t="s">
        <v>2488</v>
      </c>
      <c r="D46" s="5" t="s">
        <v>2490</v>
      </c>
      <c r="E46" s="4" t="s">
        <v>2491</v>
      </c>
      <c r="F46" s="6">
        <v>14221323</v>
      </c>
      <c r="G46" s="3">
        <v>14221323</v>
      </c>
      <c r="H46" s="7">
        <v>733004729898</v>
      </c>
      <c r="I46" s="8" t="s">
        <v>444</v>
      </c>
      <c r="J46" s="4">
        <v>2</v>
      </c>
      <c r="K46" s="9">
        <v>14.99</v>
      </c>
      <c r="L46" s="9">
        <v>29.98</v>
      </c>
      <c r="M46" s="4" t="s">
        <v>3284</v>
      </c>
      <c r="N46" s="4" t="s">
        <v>2571</v>
      </c>
      <c r="O46" s="4" t="s">
        <v>2555</v>
      </c>
      <c r="P46" s="4" t="s">
        <v>2520</v>
      </c>
      <c r="Q46" s="4" t="s">
        <v>2521</v>
      </c>
      <c r="R46" s="4"/>
      <c r="S46" s="4"/>
      <c r="T46" s="4" t="str">
        <f>HYPERLINK("http://slimages.macys.com/is/image/MCY/20433946 ")</f>
        <v xml:space="preserve">http://slimages.macys.com/is/image/MCY/20433946 </v>
      </c>
    </row>
    <row r="47" spans="1:20" ht="15" customHeight="1" x14ac:dyDescent="0.25">
      <c r="A47" s="4" t="s">
        <v>2489</v>
      </c>
      <c r="B47" s="2" t="s">
        <v>2487</v>
      </c>
      <c r="C47" s="2" t="s">
        <v>2488</v>
      </c>
      <c r="D47" s="5" t="s">
        <v>2490</v>
      </c>
      <c r="E47" s="4" t="s">
        <v>2491</v>
      </c>
      <c r="F47" s="6">
        <v>14221323</v>
      </c>
      <c r="G47" s="3">
        <v>14221323</v>
      </c>
      <c r="H47" s="7">
        <v>762120162418</v>
      </c>
      <c r="I47" s="8" t="s">
        <v>2039</v>
      </c>
      <c r="J47" s="4">
        <v>2</v>
      </c>
      <c r="K47" s="9">
        <v>7.99</v>
      </c>
      <c r="L47" s="9">
        <v>15.98</v>
      </c>
      <c r="M47" s="4" t="s">
        <v>2033</v>
      </c>
      <c r="N47" s="4" t="s">
        <v>2632</v>
      </c>
      <c r="O47" s="4" t="s">
        <v>2650</v>
      </c>
      <c r="P47" s="4" t="s">
        <v>2602</v>
      </c>
      <c r="Q47" s="4" t="s">
        <v>2528</v>
      </c>
      <c r="R47" s="4"/>
      <c r="S47" s="4"/>
      <c r="T47" s="4" t="str">
        <f>HYPERLINK("http://slimages.macys.com/is/image/MCY/20819687 ")</f>
        <v xml:space="preserve">http://slimages.macys.com/is/image/MCY/20819687 </v>
      </c>
    </row>
    <row r="48" spans="1:20" ht="15" customHeight="1" x14ac:dyDescent="0.25">
      <c r="A48" s="4" t="s">
        <v>2489</v>
      </c>
      <c r="B48" s="2" t="s">
        <v>2487</v>
      </c>
      <c r="C48" s="2" t="s">
        <v>2488</v>
      </c>
      <c r="D48" s="5" t="s">
        <v>2490</v>
      </c>
      <c r="E48" s="4" t="s">
        <v>2491</v>
      </c>
      <c r="F48" s="6">
        <v>14221323</v>
      </c>
      <c r="G48" s="3">
        <v>14221323</v>
      </c>
      <c r="H48" s="7">
        <v>733004748578</v>
      </c>
      <c r="I48" s="8" t="s">
        <v>1055</v>
      </c>
      <c r="J48" s="4">
        <v>1</v>
      </c>
      <c r="K48" s="9">
        <v>7.99</v>
      </c>
      <c r="L48" s="9">
        <v>7.99</v>
      </c>
      <c r="M48" s="4" t="s">
        <v>3352</v>
      </c>
      <c r="N48" s="4" t="s">
        <v>2505</v>
      </c>
      <c r="O48" s="4" t="s">
        <v>2650</v>
      </c>
      <c r="P48" s="4" t="s">
        <v>2503</v>
      </c>
      <c r="Q48" s="4" t="s">
        <v>2504</v>
      </c>
      <c r="R48" s="4"/>
      <c r="S48" s="4"/>
      <c r="T48" s="4" t="str">
        <f>HYPERLINK("http://slimages.macys.com/is/image/MCY/19977855 ")</f>
        <v xml:space="preserve">http://slimages.macys.com/is/image/MCY/19977855 </v>
      </c>
    </row>
    <row r="49" spans="1:20" ht="15" customHeight="1" x14ac:dyDescent="0.25">
      <c r="A49" s="4" t="s">
        <v>2489</v>
      </c>
      <c r="B49" s="2" t="s">
        <v>2487</v>
      </c>
      <c r="C49" s="2" t="s">
        <v>2488</v>
      </c>
      <c r="D49" s="5" t="s">
        <v>2490</v>
      </c>
      <c r="E49" s="4" t="s">
        <v>2491</v>
      </c>
      <c r="F49" s="6">
        <v>14221323</v>
      </c>
      <c r="G49" s="3">
        <v>14221323</v>
      </c>
      <c r="H49" s="7">
        <v>733003706036</v>
      </c>
      <c r="I49" s="8" t="s">
        <v>1095</v>
      </c>
      <c r="J49" s="4">
        <v>1</v>
      </c>
      <c r="K49" s="9">
        <v>22.99</v>
      </c>
      <c r="L49" s="9">
        <v>22.99</v>
      </c>
      <c r="M49" s="4" t="s">
        <v>1096</v>
      </c>
      <c r="N49" s="4" t="s">
        <v>2523</v>
      </c>
      <c r="O49" s="4">
        <v>5</v>
      </c>
      <c r="P49" s="4" t="s">
        <v>2602</v>
      </c>
      <c r="Q49" s="4" t="s">
        <v>2528</v>
      </c>
      <c r="R49" s="4"/>
      <c r="S49" s="4"/>
      <c r="T49" s="4" t="str">
        <f>HYPERLINK("http://slimages.macys.com/is/image/MCY/19632121 ")</f>
        <v xml:space="preserve">http://slimages.macys.com/is/image/MCY/19632121 </v>
      </c>
    </row>
    <row r="50" spans="1:20" ht="15" customHeight="1" x14ac:dyDescent="0.25">
      <c r="A50" s="4" t="s">
        <v>2489</v>
      </c>
      <c r="B50" s="2" t="s">
        <v>2487</v>
      </c>
      <c r="C50" s="2" t="s">
        <v>2488</v>
      </c>
      <c r="D50" s="5" t="s">
        <v>2490</v>
      </c>
      <c r="E50" s="4" t="s">
        <v>2491</v>
      </c>
      <c r="F50" s="6">
        <v>14221323</v>
      </c>
      <c r="G50" s="3">
        <v>14221323</v>
      </c>
      <c r="H50" s="7">
        <v>194133505232</v>
      </c>
      <c r="I50" s="8" t="s">
        <v>2010</v>
      </c>
      <c r="J50" s="4">
        <v>1</v>
      </c>
      <c r="K50" s="9">
        <v>17.29</v>
      </c>
      <c r="L50" s="9">
        <v>17.29</v>
      </c>
      <c r="M50" s="4" t="s">
        <v>2011</v>
      </c>
      <c r="N50" s="4"/>
      <c r="O50" s="4" t="s">
        <v>2502</v>
      </c>
      <c r="P50" s="4" t="s">
        <v>2494</v>
      </c>
      <c r="Q50" s="4" t="s">
        <v>2495</v>
      </c>
      <c r="R50" s="4"/>
      <c r="S50" s="4"/>
      <c r="T50" s="4" t="str">
        <f>HYPERLINK("http://slimages.macys.com/is/image/MCY/19917155 ")</f>
        <v xml:space="preserve">http://slimages.macys.com/is/image/MCY/19917155 </v>
      </c>
    </row>
    <row r="51" spans="1:20" ht="15" customHeight="1" x14ac:dyDescent="0.25">
      <c r="A51" s="4" t="s">
        <v>2489</v>
      </c>
      <c r="B51" s="2" t="s">
        <v>2487</v>
      </c>
      <c r="C51" s="2" t="s">
        <v>2488</v>
      </c>
      <c r="D51" s="5" t="s">
        <v>2490</v>
      </c>
      <c r="E51" s="4" t="s">
        <v>2491</v>
      </c>
      <c r="F51" s="6">
        <v>14221323</v>
      </c>
      <c r="G51" s="3">
        <v>14221323</v>
      </c>
      <c r="H51" s="7">
        <v>733004723100</v>
      </c>
      <c r="I51" s="8" t="s">
        <v>944</v>
      </c>
      <c r="J51" s="4">
        <v>2</v>
      </c>
      <c r="K51" s="9">
        <v>25.99</v>
      </c>
      <c r="L51" s="9">
        <v>51.98</v>
      </c>
      <c r="M51" s="4" t="s">
        <v>3178</v>
      </c>
      <c r="N51" s="4" t="s">
        <v>2518</v>
      </c>
      <c r="O51" s="4" t="s">
        <v>2493</v>
      </c>
      <c r="P51" s="4" t="s">
        <v>2503</v>
      </c>
      <c r="Q51" s="4" t="s">
        <v>2504</v>
      </c>
      <c r="R51" s="4"/>
      <c r="S51" s="4"/>
      <c r="T51" s="4" t="str">
        <f>HYPERLINK("http://slimages.macys.com/is/image/MCY/1041651 ")</f>
        <v xml:space="preserve">http://slimages.macys.com/is/image/MCY/1041651 </v>
      </c>
    </row>
    <row r="52" spans="1:20" ht="15" customHeight="1" x14ac:dyDescent="0.25">
      <c r="A52" s="4" t="s">
        <v>2489</v>
      </c>
      <c r="B52" s="2" t="s">
        <v>2487</v>
      </c>
      <c r="C52" s="2" t="s">
        <v>2488</v>
      </c>
      <c r="D52" s="5" t="s">
        <v>2490</v>
      </c>
      <c r="E52" s="4" t="s">
        <v>2491</v>
      </c>
      <c r="F52" s="6">
        <v>14221323</v>
      </c>
      <c r="G52" s="3">
        <v>14221323</v>
      </c>
      <c r="H52" s="7">
        <v>194257518736</v>
      </c>
      <c r="I52" s="8" t="s">
        <v>3436</v>
      </c>
      <c r="J52" s="4">
        <v>1</v>
      </c>
      <c r="K52" s="9">
        <v>8.25</v>
      </c>
      <c r="L52" s="9">
        <v>8.25</v>
      </c>
      <c r="M52" s="4" t="s">
        <v>3274</v>
      </c>
      <c r="N52" s="4" t="s">
        <v>2514</v>
      </c>
      <c r="O52" s="4" t="s">
        <v>2524</v>
      </c>
      <c r="P52" s="4" t="s">
        <v>2619</v>
      </c>
      <c r="Q52" s="4" t="s">
        <v>2654</v>
      </c>
      <c r="R52" s="4"/>
      <c r="S52" s="4"/>
      <c r="T52" s="4" t="str">
        <f>HYPERLINK("http://slimages.macys.com/is/image/MCY/20099678 ")</f>
        <v xml:space="preserve">http://slimages.macys.com/is/image/MCY/20099678 </v>
      </c>
    </row>
    <row r="53" spans="1:20" ht="15" customHeight="1" x14ac:dyDescent="0.25">
      <c r="A53" s="4" t="s">
        <v>2489</v>
      </c>
      <c r="B53" s="2" t="s">
        <v>2487</v>
      </c>
      <c r="C53" s="2" t="s">
        <v>2488</v>
      </c>
      <c r="D53" s="5" t="s">
        <v>2490</v>
      </c>
      <c r="E53" s="4" t="s">
        <v>2491</v>
      </c>
      <c r="F53" s="6">
        <v>14221323</v>
      </c>
      <c r="G53" s="3">
        <v>14221323</v>
      </c>
      <c r="H53" s="7">
        <v>733004745775</v>
      </c>
      <c r="I53" s="8" t="s">
        <v>1976</v>
      </c>
      <c r="J53" s="4">
        <v>1</v>
      </c>
      <c r="K53" s="9">
        <v>6.99</v>
      </c>
      <c r="L53" s="9">
        <v>6.99</v>
      </c>
      <c r="M53" s="4" t="s">
        <v>2852</v>
      </c>
      <c r="N53" s="4" t="s">
        <v>2565</v>
      </c>
      <c r="O53" s="4" t="s">
        <v>2559</v>
      </c>
      <c r="P53" s="4" t="s">
        <v>2503</v>
      </c>
      <c r="Q53" s="4" t="s">
        <v>2504</v>
      </c>
      <c r="R53" s="4"/>
      <c r="S53" s="4"/>
      <c r="T53" s="4" t="str">
        <f>HYPERLINK("http://slimages.macys.com/is/image/MCY/19977364 ")</f>
        <v xml:space="preserve">http://slimages.macys.com/is/image/MCY/19977364 </v>
      </c>
    </row>
    <row r="54" spans="1:20" ht="15" customHeight="1" x14ac:dyDescent="0.25">
      <c r="A54" s="4" t="s">
        <v>2489</v>
      </c>
      <c r="B54" s="2" t="s">
        <v>2487</v>
      </c>
      <c r="C54" s="2" t="s">
        <v>2488</v>
      </c>
      <c r="D54" s="5" t="s">
        <v>2490</v>
      </c>
      <c r="E54" s="4" t="s">
        <v>2491</v>
      </c>
      <c r="F54" s="6">
        <v>14221323</v>
      </c>
      <c r="G54" s="3">
        <v>14221323</v>
      </c>
      <c r="H54" s="7">
        <v>885031526503</v>
      </c>
      <c r="I54" s="8" t="s">
        <v>3316</v>
      </c>
      <c r="J54" s="4">
        <v>1</v>
      </c>
      <c r="K54" s="9">
        <v>39.5</v>
      </c>
      <c r="L54" s="9">
        <v>39.5</v>
      </c>
      <c r="M54" s="4">
        <v>322858780001</v>
      </c>
      <c r="N54" s="4" t="s">
        <v>2731</v>
      </c>
      <c r="O54" s="4">
        <v>7</v>
      </c>
      <c r="P54" s="4" t="s">
        <v>2615</v>
      </c>
      <c r="Q54" s="4" t="s">
        <v>2616</v>
      </c>
      <c r="R54" s="4"/>
      <c r="S54" s="4"/>
      <c r="T54" s="4" t="str">
        <f>HYPERLINK("http://slimages.macys.com/is/image/MCY/20655333 ")</f>
        <v xml:space="preserve">http://slimages.macys.com/is/image/MCY/20655333 </v>
      </c>
    </row>
    <row r="55" spans="1:20" ht="15" customHeight="1" x14ac:dyDescent="0.25">
      <c r="A55" s="4" t="s">
        <v>2489</v>
      </c>
      <c r="B55" s="2" t="s">
        <v>2487</v>
      </c>
      <c r="C55" s="2" t="s">
        <v>2488</v>
      </c>
      <c r="D55" s="5" t="s">
        <v>2490</v>
      </c>
      <c r="E55" s="4" t="s">
        <v>2491</v>
      </c>
      <c r="F55" s="6">
        <v>14221323</v>
      </c>
      <c r="G55" s="3">
        <v>14221323</v>
      </c>
      <c r="H55" s="7">
        <v>733003642716</v>
      </c>
      <c r="I55" s="8" t="s">
        <v>987</v>
      </c>
      <c r="J55" s="4">
        <v>1</v>
      </c>
      <c r="K55" s="9">
        <v>22.99</v>
      </c>
      <c r="L55" s="9">
        <v>22.99</v>
      </c>
      <c r="M55" s="4" t="s">
        <v>2513</v>
      </c>
      <c r="N55" s="4" t="s">
        <v>2514</v>
      </c>
      <c r="O55" s="4" t="s">
        <v>2519</v>
      </c>
      <c r="P55" s="4" t="s">
        <v>2515</v>
      </c>
      <c r="Q55" s="4" t="s">
        <v>2516</v>
      </c>
      <c r="R55" s="4"/>
      <c r="S55" s="4"/>
      <c r="T55" s="4" t="str">
        <f>HYPERLINK("http://slimages.macys.com/is/image/MCY/20008078 ")</f>
        <v xml:space="preserve">http://slimages.macys.com/is/image/MCY/20008078 </v>
      </c>
    </row>
    <row r="56" spans="1:20" ht="15" customHeight="1" x14ac:dyDescent="0.25">
      <c r="A56" s="4" t="s">
        <v>2489</v>
      </c>
      <c r="B56" s="2" t="s">
        <v>2487</v>
      </c>
      <c r="C56" s="2" t="s">
        <v>2488</v>
      </c>
      <c r="D56" s="5" t="s">
        <v>2490</v>
      </c>
      <c r="E56" s="4" t="s">
        <v>2491</v>
      </c>
      <c r="F56" s="6">
        <v>14221323</v>
      </c>
      <c r="G56" s="3">
        <v>14221323</v>
      </c>
      <c r="H56" s="7">
        <v>194133360015</v>
      </c>
      <c r="I56" s="8" t="s">
        <v>2886</v>
      </c>
      <c r="J56" s="4">
        <v>1</v>
      </c>
      <c r="K56" s="9">
        <v>22.77</v>
      </c>
      <c r="L56" s="9">
        <v>22.77</v>
      </c>
      <c r="M56" s="4" t="s">
        <v>2887</v>
      </c>
      <c r="N56" s="4" t="s">
        <v>2518</v>
      </c>
      <c r="O56" s="4" t="s">
        <v>2591</v>
      </c>
      <c r="P56" s="4" t="s">
        <v>2494</v>
      </c>
      <c r="Q56" s="4" t="s">
        <v>2495</v>
      </c>
      <c r="R56" s="4"/>
      <c r="S56" s="4"/>
      <c r="T56" s="4" t="str">
        <f>HYPERLINK("http://slimages.macys.com/is/image/MCY/17249198 ")</f>
        <v xml:space="preserve">http://slimages.macys.com/is/image/MCY/17249198 </v>
      </c>
    </row>
    <row r="57" spans="1:20" ht="15" customHeight="1" x14ac:dyDescent="0.25">
      <c r="A57" s="4" t="s">
        <v>2489</v>
      </c>
      <c r="B57" s="2" t="s">
        <v>2487</v>
      </c>
      <c r="C57" s="2" t="s">
        <v>2488</v>
      </c>
      <c r="D57" s="5" t="s">
        <v>2490</v>
      </c>
      <c r="E57" s="4" t="s">
        <v>2491</v>
      </c>
      <c r="F57" s="6">
        <v>14221323</v>
      </c>
      <c r="G57" s="3">
        <v>14221323</v>
      </c>
      <c r="H57" s="7">
        <v>733004722288</v>
      </c>
      <c r="I57" s="8" t="s">
        <v>3396</v>
      </c>
      <c r="J57" s="4">
        <v>1</v>
      </c>
      <c r="K57" s="9">
        <v>18.989999999999998</v>
      </c>
      <c r="L57" s="9">
        <v>18.989999999999998</v>
      </c>
      <c r="M57" s="4" t="s">
        <v>3303</v>
      </c>
      <c r="N57" s="4" t="s">
        <v>2505</v>
      </c>
      <c r="O57" s="4" t="s">
        <v>2601</v>
      </c>
      <c r="P57" s="4" t="s">
        <v>2503</v>
      </c>
      <c r="Q57" s="4" t="s">
        <v>2504</v>
      </c>
      <c r="R57" s="4"/>
      <c r="S57" s="4"/>
      <c r="T57" s="4" t="str">
        <f>HYPERLINK("http://slimages.macys.com/is/image/MCY/19978179 ")</f>
        <v xml:space="preserve">http://slimages.macys.com/is/image/MCY/19978179 </v>
      </c>
    </row>
    <row r="58" spans="1:20" ht="15" customHeight="1" x14ac:dyDescent="0.25">
      <c r="A58" s="4" t="s">
        <v>2489</v>
      </c>
      <c r="B58" s="2" t="s">
        <v>2487</v>
      </c>
      <c r="C58" s="2" t="s">
        <v>2488</v>
      </c>
      <c r="D58" s="5" t="s">
        <v>2490</v>
      </c>
      <c r="E58" s="4" t="s">
        <v>2491</v>
      </c>
      <c r="F58" s="6">
        <v>14221323</v>
      </c>
      <c r="G58" s="3">
        <v>14221323</v>
      </c>
      <c r="H58" s="7">
        <v>733004591822</v>
      </c>
      <c r="I58" s="8" t="s">
        <v>2843</v>
      </c>
      <c r="J58" s="4">
        <v>1</v>
      </c>
      <c r="K58" s="9">
        <v>17.989999999999998</v>
      </c>
      <c r="L58" s="9">
        <v>17.989999999999998</v>
      </c>
      <c r="M58" s="4">
        <v>10013097300</v>
      </c>
      <c r="N58" s="4" t="s">
        <v>2600</v>
      </c>
      <c r="O58" s="4" t="s">
        <v>2831</v>
      </c>
      <c r="P58" s="4" t="s">
        <v>2503</v>
      </c>
      <c r="Q58" s="4" t="s">
        <v>2504</v>
      </c>
      <c r="R58" s="4"/>
      <c r="S58" s="4"/>
      <c r="T58" s="4" t="str">
        <f>HYPERLINK("http://slimages.macys.com/is/image/MCY/19755903 ")</f>
        <v xml:space="preserve">http://slimages.macys.com/is/image/MCY/19755903 </v>
      </c>
    </row>
    <row r="59" spans="1:20" ht="15" customHeight="1" x14ac:dyDescent="0.25">
      <c r="A59" s="4" t="s">
        <v>2489</v>
      </c>
      <c r="B59" s="2" t="s">
        <v>2487</v>
      </c>
      <c r="C59" s="2" t="s">
        <v>2488</v>
      </c>
      <c r="D59" s="5" t="s">
        <v>2490</v>
      </c>
      <c r="E59" s="4" t="s">
        <v>2491</v>
      </c>
      <c r="F59" s="6">
        <v>14221323</v>
      </c>
      <c r="G59" s="3">
        <v>14221323</v>
      </c>
      <c r="H59" s="7">
        <v>733004591662</v>
      </c>
      <c r="I59" s="8" t="s">
        <v>1097</v>
      </c>
      <c r="J59" s="4">
        <v>2</v>
      </c>
      <c r="K59" s="9">
        <v>26.99</v>
      </c>
      <c r="L59" s="9">
        <v>53.98</v>
      </c>
      <c r="M59" s="4">
        <v>10013096900</v>
      </c>
      <c r="N59" s="4" t="s">
        <v>2611</v>
      </c>
      <c r="O59" s="4" t="s">
        <v>2502</v>
      </c>
      <c r="P59" s="4" t="s">
        <v>2503</v>
      </c>
      <c r="Q59" s="4" t="s">
        <v>2504</v>
      </c>
      <c r="R59" s="4"/>
      <c r="S59" s="4"/>
      <c r="T59" s="4" t="str">
        <f>HYPERLINK("http://slimages.macys.com/is/image/MCY/19754453 ")</f>
        <v xml:space="preserve">http://slimages.macys.com/is/image/MCY/19754453 </v>
      </c>
    </row>
    <row r="60" spans="1:20" ht="15" customHeight="1" x14ac:dyDescent="0.25">
      <c r="A60" s="4" t="s">
        <v>2489</v>
      </c>
      <c r="B60" s="2" t="s">
        <v>2487</v>
      </c>
      <c r="C60" s="2" t="s">
        <v>2488</v>
      </c>
      <c r="D60" s="5" t="s">
        <v>2490</v>
      </c>
      <c r="E60" s="4" t="s">
        <v>2491</v>
      </c>
      <c r="F60" s="6">
        <v>14221323</v>
      </c>
      <c r="G60" s="3">
        <v>14221323</v>
      </c>
      <c r="H60" s="7">
        <v>733004722721</v>
      </c>
      <c r="I60" s="8" t="s">
        <v>3205</v>
      </c>
      <c r="J60" s="4">
        <v>2</v>
      </c>
      <c r="K60" s="9">
        <v>25.99</v>
      </c>
      <c r="L60" s="9">
        <v>51.98</v>
      </c>
      <c r="M60" s="4" t="s">
        <v>3193</v>
      </c>
      <c r="N60" s="4" t="s">
        <v>2530</v>
      </c>
      <c r="O60" s="4" t="s">
        <v>2493</v>
      </c>
      <c r="P60" s="4" t="s">
        <v>2503</v>
      </c>
      <c r="Q60" s="4" t="s">
        <v>2504</v>
      </c>
      <c r="R60" s="4"/>
      <c r="S60" s="4"/>
      <c r="T60" s="4" t="str">
        <f>HYPERLINK("http://slimages.macys.com/is/image/MCY/19977902 ")</f>
        <v xml:space="preserve">http://slimages.macys.com/is/image/MCY/19977902 </v>
      </c>
    </row>
    <row r="61" spans="1:20" ht="15" customHeight="1" x14ac:dyDescent="0.25">
      <c r="A61" s="4" t="s">
        <v>2489</v>
      </c>
      <c r="B61" s="2" t="s">
        <v>2487</v>
      </c>
      <c r="C61" s="2" t="s">
        <v>2488</v>
      </c>
      <c r="D61" s="5" t="s">
        <v>2490</v>
      </c>
      <c r="E61" s="4" t="s">
        <v>2491</v>
      </c>
      <c r="F61" s="6">
        <v>14221323</v>
      </c>
      <c r="G61" s="3">
        <v>14221323</v>
      </c>
      <c r="H61" s="7">
        <v>762120086424</v>
      </c>
      <c r="I61" s="8" t="s">
        <v>1829</v>
      </c>
      <c r="J61" s="4">
        <v>1</v>
      </c>
      <c r="K61" s="9">
        <v>7.99</v>
      </c>
      <c r="L61" s="9">
        <v>7.99</v>
      </c>
      <c r="M61" s="4" t="s">
        <v>1776</v>
      </c>
      <c r="N61" s="4" t="s">
        <v>2638</v>
      </c>
      <c r="O61" s="4" t="s">
        <v>2629</v>
      </c>
      <c r="P61" s="4" t="s">
        <v>2602</v>
      </c>
      <c r="Q61" s="4" t="s">
        <v>2528</v>
      </c>
      <c r="R61" s="4"/>
      <c r="S61" s="4"/>
      <c r="T61" s="4" t="str">
        <f>HYPERLINK("http://slimages.macys.com/is/image/MCY/1079693 ")</f>
        <v xml:space="preserve">http://slimages.macys.com/is/image/MCY/1079693 </v>
      </c>
    </row>
    <row r="62" spans="1:20" ht="15" customHeight="1" x14ac:dyDescent="0.25">
      <c r="A62" s="4" t="s">
        <v>2489</v>
      </c>
      <c r="B62" s="2" t="s">
        <v>2487</v>
      </c>
      <c r="C62" s="2" t="s">
        <v>2488</v>
      </c>
      <c r="D62" s="5" t="s">
        <v>2490</v>
      </c>
      <c r="E62" s="4" t="s">
        <v>2491</v>
      </c>
      <c r="F62" s="6">
        <v>14221323</v>
      </c>
      <c r="G62" s="3">
        <v>14221323</v>
      </c>
      <c r="H62" s="7">
        <v>733004297625</v>
      </c>
      <c r="I62" s="8" t="s">
        <v>1918</v>
      </c>
      <c r="J62" s="4">
        <v>1</v>
      </c>
      <c r="K62" s="9">
        <v>27.99</v>
      </c>
      <c r="L62" s="9">
        <v>27.99</v>
      </c>
      <c r="M62" s="4" t="s">
        <v>2949</v>
      </c>
      <c r="N62" s="4" t="s">
        <v>2497</v>
      </c>
      <c r="O62" s="4" t="s">
        <v>2519</v>
      </c>
      <c r="P62" s="4" t="s">
        <v>2515</v>
      </c>
      <c r="Q62" s="4" t="s">
        <v>2672</v>
      </c>
      <c r="R62" s="4"/>
      <c r="S62" s="4"/>
      <c r="T62" s="4" t="str">
        <f>HYPERLINK("http://slimages.macys.com/is/image/MCY/20143278 ")</f>
        <v xml:space="preserve">http://slimages.macys.com/is/image/MCY/20143278 </v>
      </c>
    </row>
    <row r="63" spans="1:20" ht="15" customHeight="1" x14ac:dyDescent="0.25">
      <c r="A63" s="4" t="s">
        <v>2489</v>
      </c>
      <c r="B63" s="2" t="s">
        <v>2487</v>
      </c>
      <c r="C63" s="2" t="s">
        <v>2488</v>
      </c>
      <c r="D63" s="5" t="s">
        <v>2490</v>
      </c>
      <c r="E63" s="4" t="s">
        <v>2491</v>
      </c>
      <c r="F63" s="6">
        <v>14221323</v>
      </c>
      <c r="G63" s="3">
        <v>14221323</v>
      </c>
      <c r="H63" s="7">
        <v>733004746215</v>
      </c>
      <c r="I63" s="8" t="s">
        <v>3373</v>
      </c>
      <c r="J63" s="4">
        <v>2</v>
      </c>
      <c r="K63" s="9">
        <v>6.99</v>
      </c>
      <c r="L63" s="9">
        <v>13.98</v>
      </c>
      <c r="M63" s="4" t="s">
        <v>2885</v>
      </c>
      <c r="N63" s="4" t="s">
        <v>2505</v>
      </c>
      <c r="O63" s="4" t="s">
        <v>2493</v>
      </c>
      <c r="P63" s="4" t="s">
        <v>2503</v>
      </c>
      <c r="Q63" s="4" t="s">
        <v>2504</v>
      </c>
      <c r="R63" s="4"/>
      <c r="S63" s="4"/>
      <c r="T63" s="4" t="str">
        <f>HYPERLINK("http://slimages.macys.com/is/image/MCY/19977855 ")</f>
        <v xml:space="preserve">http://slimages.macys.com/is/image/MCY/19977855 </v>
      </c>
    </row>
    <row r="64" spans="1:20" ht="15" customHeight="1" x14ac:dyDescent="0.25">
      <c r="A64" s="4" t="s">
        <v>2489</v>
      </c>
      <c r="B64" s="2" t="s">
        <v>2487</v>
      </c>
      <c r="C64" s="2" t="s">
        <v>2488</v>
      </c>
      <c r="D64" s="5" t="s">
        <v>2490</v>
      </c>
      <c r="E64" s="4" t="s">
        <v>2491</v>
      </c>
      <c r="F64" s="6">
        <v>14221323</v>
      </c>
      <c r="G64" s="3">
        <v>14221323</v>
      </c>
      <c r="H64" s="7">
        <v>733004103032</v>
      </c>
      <c r="I64" s="8" t="s">
        <v>1098</v>
      </c>
      <c r="J64" s="4">
        <v>1</v>
      </c>
      <c r="K64" s="9">
        <v>22.99</v>
      </c>
      <c r="L64" s="9">
        <v>22.99</v>
      </c>
      <c r="M64" s="4" t="s">
        <v>2049</v>
      </c>
      <c r="N64" s="4" t="s">
        <v>2523</v>
      </c>
      <c r="O64" s="4" t="s">
        <v>2498</v>
      </c>
      <c r="P64" s="4" t="s">
        <v>2543</v>
      </c>
      <c r="Q64" s="4" t="s">
        <v>2528</v>
      </c>
      <c r="R64" s="4"/>
      <c r="S64" s="4"/>
      <c r="T64" s="4" t="str">
        <f>HYPERLINK("http://slimages.macys.com/is/image/MCY/20084026 ")</f>
        <v xml:space="preserve">http://slimages.macys.com/is/image/MCY/20084026 </v>
      </c>
    </row>
    <row r="65" spans="1:20" ht="15" customHeight="1" x14ac:dyDescent="0.25">
      <c r="A65" s="4" t="s">
        <v>2489</v>
      </c>
      <c r="B65" s="2" t="s">
        <v>2487</v>
      </c>
      <c r="C65" s="2" t="s">
        <v>2488</v>
      </c>
      <c r="D65" s="5" t="s">
        <v>2490</v>
      </c>
      <c r="E65" s="4" t="s">
        <v>2491</v>
      </c>
      <c r="F65" s="6">
        <v>14221323</v>
      </c>
      <c r="G65" s="3">
        <v>14221323</v>
      </c>
      <c r="H65" s="7">
        <v>733003705879</v>
      </c>
      <c r="I65" s="8" t="s">
        <v>1099</v>
      </c>
      <c r="J65" s="4">
        <v>2</v>
      </c>
      <c r="K65" s="9">
        <v>22.99</v>
      </c>
      <c r="L65" s="9">
        <v>45.98</v>
      </c>
      <c r="M65" s="4" t="s">
        <v>1100</v>
      </c>
      <c r="N65" s="4" t="s">
        <v>2514</v>
      </c>
      <c r="O65" s="4" t="s">
        <v>2650</v>
      </c>
      <c r="P65" s="4" t="s">
        <v>2602</v>
      </c>
      <c r="Q65" s="4" t="s">
        <v>2528</v>
      </c>
      <c r="R65" s="4"/>
      <c r="S65" s="4"/>
      <c r="T65" s="4" t="str">
        <f>HYPERLINK("http://slimages.macys.com/is/image/MCY/19632125 ")</f>
        <v xml:space="preserve">http://slimages.macys.com/is/image/MCY/19632125 </v>
      </c>
    </row>
    <row r="66" spans="1:20" ht="15" customHeight="1" x14ac:dyDescent="0.25">
      <c r="A66" s="4" t="s">
        <v>2489</v>
      </c>
      <c r="B66" s="2" t="s">
        <v>2487</v>
      </c>
      <c r="C66" s="2" t="s">
        <v>2488</v>
      </c>
      <c r="D66" s="5" t="s">
        <v>2490</v>
      </c>
      <c r="E66" s="4" t="s">
        <v>2491</v>
      </c>
      <c r="F66" s="6">
        <v>14221323</v>
      </c>
      <c r="G66" s="3">
        <v>14221323</v>
      </c>
      <c r="H66" s="7">
        <v>733004745850</v>
      </c>
      <c r="I66" s="8" t="s">
        <v>3271</v>
      </c>
      <c r="J66" s="4">
        <v>1</v>
      </c>
      <c r="K66" s="9">
        <v>6.99</v>
      </c>
      <c r="L66" s="9">
        <v>6.99</v>
      </c>
      <c r="M66" s="4" t="s">
        <v>2939</v>
      </c>
      <c r="N66" s="4" t="s">
        <v>2638</v>
      </c>
      <c r="O66" s="4" t="s">
        <v>2493</v>
      </c>
      <c r="P66" s="4" t="s">
        <v>2503</v>
      </c>
      <c r="Q66" s="4" t="s">
        <v>2504</v>
      </c>
      <c r="R66" s="4"/>
      <c r="S66" s="4"/>
      <c r="T66" s="4" t="str">
        <f>HYPERLINK("http://slimages.macys.com/is/image/MCY/19977792 ")</f>
        <v xml:space="preserve">http://slimages.macys.com/is/image/MCY/19977792 </v>
      </c>
    </row>
    <row r="67" spans="1:20" ht="15" customHeight="1" x14ac:dyDescent="0.25">
      <c r="A67" s="4" t="s">
        <v>2489</v>
      </c>
      <c r="B67" s="2" t="s">
        <v>2487</v>
      </c>
      <c r="C67" s="2" t="s">
        <v>2488</v>
      </c>
      <c r="D67" s="5" t="s">
        <v>2490</v>
      </c>
      <c r="E67" s="4" t="s">
        <v>2491</v>
      </c>
      <c r="F67" s="6">
        <v>14221323</v>
      </c>
      <c r="G67" s="3">
        <v>14221323</v>
      </c>
      <c r="H67" s="7">
        <v>194870441725</v>
      </c>
      <c r="I67" s="8" t="s">
        <v>1101</v>
      </c>
      <c r="J67" s="4">
        <v>1</v>
      </c>
      <c r="K67" s="9">
        <v>16.989999999999998</v>
      </c>
      <c r="L67" s="9">
        <v>16.989999999999998</v>
      </c>
      <c r="M67" s="4" t="s">
        <v>1102</v>
      </c>
      <c r="N67" s="4" t="s">
        <v>2497</v>
      </c>
      <c r="O67" s="4">
        <v>5</v>
      </c>
      <c r="P67" s="4" t="s">
        <v>2499</v>
      </c>
      <c r="Q67" s="4" t="s">
        <v>2663</v>
      </c>
      <c r="R67" s="4"/>
      <c r="S67" s="4"/>
      <c r="T67" s="4" t="str">
        <f>HYPERLINK("http://slimages.macys.com/is/image/MCY/19578822 ")</f>
        <v xml:space="preserve">http://slimages.macys.com/is/image/MCY/19578822 </v>
      </c>
    </row>
    <row r="68" spans="1:20" ht="15" customHeight="1" x14ac:dyDescent="0.25">
      <c r="A68" s="4" t="s">
        <v>2489</v>
      </c>
      <c r="B68" s="2" t="s">
        <v>2487</v>
      </c>
      <c r="C68" s="2" t="s">
        <v>2488</v>
      </c>
      <c r="D68" s="5" t="s">
        <v>2490</v>
      </c>
      <c r="E68" s="4" t="s">
        <v>2491</v>
      </c>
      <c r="F68" s="6">
        <v>14221323</v>
      </c>
      <c r="G68" s="3">
        <v>14221323</v>
      </c>
      <c r="H68" s="7">
        <v>733003706111</v>
      </c>
      <c r="I68" s="8" t="s">
        <v>1103</v>
      </c>
      <c r="J68" s="4">
        <v>1</v>
      </c>
      <c r="K68" s="9">
        <v>22.99</v>
      </c>
      <c r="L68" s="9">
        <v>22.99</v>
      </c>
      <c r="M68" s="4" t="s">
        <v>760</v>
      </c>
      <c r="N68" s="4" t="s">
        <v>2497</v>
      </c>
      <c r="O68" s="4" t="s">
        <v>2650</v>
      </c>
      <c r="P68" s="4" t="s">
        <v>2602</v>
      </c>
      <c r="Q68" s="4" t="s">
        <v>2528</v>
      </c>
      <c r="R68" s="4"/>
      <c r="S68" s="4"/>
      <c r="T68" s="4" t="str">
        <f>HYPERLINK("http://slimages.macys.com/is/image/MCY/19632125 ")</f>
        <v xml:space="preserve">http://slimages.macys.com/is/image/MCY/19632125 </v>
      </c>
    </row>
    <row r="69" spans="1:20" ht="15" customHeight="1" x14ac:dyDescent="0.25">
      <c r="A69" s="4" t="s">
        <v>2489</v>
      </c>
      <c r="B69" s="2" t="s">
        <v>2487</v>
      </c>
      <c r="C69" s="2" t="s">
        <v>2488</v>
      </c>
      <c r="D69" s="5" t="s">
        <v>2490</v>
      </c>
      <c r="E69" s="4" t="s">
        <v>2491</v>
      </c>
      <c r="F69" s="6">
        <v>14221323</v>
      </c>
      <c r="G69" s="3">
        <v>14221323</v>
      </c>
      <c r="H69" s="7">
        <v>733004746307</v>
      </c>
      <c r="I69" s="8" t="s">
        <v>3255</v>
      </c>
      <c r="J69" s="4">
        <v>1</v>
      </c>
      <c r="K69" s="9">
        <v>6.99</v>
      </c>
      <c r="L69" s="9">
        <v>6.99</v>
      </c>
      <c r="M69" s="4" t="s">
        <v>3187</v>
      </c>
      <c r="N69" s="4" t="s">
        <v>2565</v>
      </c>
      <c r="O69" s="4" t="s">
        <v>2566</v>
      </c>
      <c r="P69" s="4" t="s">
        <v>2503</v>
      </c>
      <c r="Q69" s="4" t="s">
        <v>2504</v>
      </c>
      <c r="R69" s="4"/>
      <c r="S69" s="4"/>
      <c r="T69" s="4" t="str">
        <f>HYPERLINK("http://slimages.macys.com/is/image/MCY/19977361 ")</f>
        <v xml:space="preserve">http://slimages.macys.com/is/image/MCY/19977361 </v>
      </c>
    </row>
    <row r="70" spans="1:20" ht="15" customHeight="1" x14ac:dyDescent="0.25">
      <c r="A70" s="4" t="s">
        <v>2489</v>
      </c>
      <c r="B70" s="2" t="s">
        <v>2487</v>
      </c>
      <c r="C70" s="2" t="s">
        <v>2488</v>
      </c>
      <c r="D70" s="5" t="s">
        <v>2490</v>
      </c>
      <c r="E70" s="4" t="s">
        <v>2491</v>
      </c>
      <c r="F70" s="6">
        <v>14221323</v>
      </c>
      <c r="G70" s="3">
        <v>14221323</v>
      </c>
      <c r="H70" s="7">
        <v>194654548770</v>
      </c>
      <c r="I70" s="8" t="s">
        <v>753</v>
      </c>
      <c r="J70" s="4">
        <v>1</v>
      </c>
      <c r="K70" s="9">
        <v>38</v>
      </c>
      <c r="L70" s="9">
        <v>38</v>
      </c>
      <c r="M70" s="4" t="s">
        <v>754</v>
      </c>
      <c r="N70" s="4" t="s">
        <v>2508</v>
      </c>
      <c r="O70" s="4">
        <v>7</v>
      </c>
      <c r="P70" s="4" t="s">
        <v>2510</v>
      </c>
      <c r="Q70" s="4" t="s">
        <v>2549</v>
      </c>
      <c r="R70" s="4"/>
      <c r="S70" s="4"/>
      <c r="T70" s="4"/>
    </row>
    <row r="71" spans="1:20" ht="15" customHeight="1" x14ac:dyDescent="0.25">
      <c r="A71" s="4" t="s">
        <v>2489</v>
      </c>
      <c r="B71" s="2" t="s">
        <v>2487</v>
      </c>
      <c r="C71" s="2" t="s">
        <v>2488</v>
      </c>
      <c r="D71" s="5" t="s">
        <v>2490</v>
      </c>
      <c r="E71" s="4" t="s">
        <v>2491</v>
      </c>
      <c r="F71" s="6">
        <v>14221323</v>
      </c>
      <c r="G71" s="3">
        <v>14221323</v>
      </c>
      <c r="H71" s="7">
        <v>194654555099</v>
      </c>
      <c r="I71" s="8" t="s">
        <v>1104</v>
      </c>
      <c r="J71" s="4">
        <v>1</v>
      </c>
      <c r="K71" s="9">
        <v>38</v>
      </c>
      <c r="L71" s="9">
        <v>38</v>
      </c>
      <c r="M71" s="4" t="s">
        <v>1105</v>
      </c>
      <c r="N71" s="4" t="s">
        <v>2544</v>
      </c>
      <c r="O71" s="4">
        <v>9</v>
      </c>
      <c r="P71" s="4" t="s">
        <v>2510</v>
      </c>
      <c r="Q71" s="4" t="s">
        <v>2549</v>
      </c>
      <c r="R71" s="4"/>
      <c r="S71" s="4"/>
      <c r="T71" s="4"/>
    </row>
    <row r="72" spans="1:20" ht="15" customHeight="1" x14ac:dyDescent="0.25">
      <c r="A72" s="4" t="s">
        <v>2489</v>
      </c>
      <c r="B72" s="2" t="s">
        <v>2487</v>
      </c>
      <c r="C72" s="2" t="s">
        <v>2488</v>
      </c>
      <c r="D72" s="5" t="s">
        <v>2490</v>
      </c>
      <c r="E72" s="4" t="s">
        <v>2491</v>
      </c>
      <c r="F72" s="6">
        <v>14221323</v>
      </c>
      <c r="G72" s="3">
        <v>14221323</v>
      </c>
      <c r="H72" s="7">
        <v>194973798245</v>
      </c>
      <c r="I72" s="8" t="s">
        <v>1106</v>
      </c>
      <c r="J72" s="4">
        <v>1</v>
      </c>
      <c r="K72" s="9">
        <v>7.8</v>
      </c>
      <c r="L72" s="9">
        <v>7.8</v>
      </c>
      <c r="M72" s="4" t="s">
        <v>3109</v>
      </c>
      <c r="N72" s="4" t="s">
        <v>2633</v>
      </c>
      <c r="O72" s="4">
        <v>2</v>
      </c>
      <c r="P72" s="4" t="s">
        <v>2506</v>
      </c>
      <c r="Q72" s="4" t="s">
        <v>2527</v>
      </c>
      <c r="R72" s="4"/>
      <c r="S72" s="4"/>
      <c r="T72" s="4" t="str">
        <f>HYPERLINK("http://slimages.macys.com/is/image/MCY/18839146 ")</f>
        <v xml:space="preserve">http://slimages.macys.com/is/image/MCY/18839146 </v>
      </c>
    </row>
    <row r="73" spans="1:20" ht="15" customHeight="1" x14ac:dyDescent="0.25">
      <c r="A73" s="4" t="s">
        <v>2489</v>
      </c>
      <c r="B73" s="2" t="s">
        <v>2487</v>
      </c>
      <c r="C73" s="2" t="s">
        <v>2488</v>
      </c>
      <c r="D73" s="5" t="s">
        <v>2490</v>
      </c>
      <c r="E73" s="4" t="s">
        <v>2491</v>
      </c>
      <c r="F73" s="6">
        <v>14221323</v>
      </c>
      <c r="G73" s="3">
        <v>14221323</v>
      </c>
      <c r="H73" s="7">
        <v>696114436523</v>
      </c>
      <c r="I73" s="8" t="s">
        <v>2977</v>
      </c>
      <c r="J73" s="4">
        <v>1</v>
      </c>
      <c r="K73" s="9">
        <v>13.99</v>
      </c>
      <c r="L73" s="9">
        <v>13.99</v>
      </c>
      <c r="M73" s="4" t="s">
        <v>2978</v>
      </c>
      <c r="N73" s="4"/>
      <c r="O73" s="4"/>
      <c r="P73" s="4" t="s">
        <v>2666</v>
      </c>
      <c r="Q73" s="4" t="s">
        <v>2979</v>
      </c>
      <c r="R73" s="4"/>
      <c r="S73" s="4"/>
      <c r="T73" s="4" t="str">
        <f>HYPERLINK("http://slimages.macys.com/is/image/MCY/20604762 ")</f>
        <v xml:space="preserve">http://slimages.macys.com/is/image/MCY/20604762 </v>
      </c>
    </row>
    <row r="74" spans="1:20" ht="15" customHeight="1" x14ac:dyDescent="0.25">
      <c r="A74" s="4" t="s">
        <v>2489</v>
      </c>
      <c r="B74" s="2" t="s">
        <v>2487</v>
      </c>
      <c r="C74" s="2" t="s">
        <v>2488</v>
      </c>
      <c r="D74" s="5" t="s">
        <v>2490</v>
      </c>
      <c r="E74" s="4" t="s">
        <v>2491</v>
      </c>
      <c r="F74" s="6">
        <v>14221323</v>
      </c>
      <c r="G74" s="3">
        <v>14221323</v>
      </c>
      <c r="H74" s="7">
        <v>762120085083</v>
      </c>
      <c r="I74" s="8" t="s">
        <v>1785</v>
      </c>
      <c r="J74" s="4">
        <v>1</v>
      </c>
      <c r="K74" s="9">
        <v>7.99</v>
      </c>
      <c r="L74" s="9">
        <v>7.99</v>
      </c>
      <c r="M74" s="4" t="s">
        <v>1586</v>
      </c>
      <c r="N74" s="4" t="s">
        <v>2501</v>
      </c>
      <c r="O74" s="4" t="s">
        <v>2628</v>
      </c>
      <c r="P74" s="4" t="s">
        <v>2602</v>
      </c>
      <c r="Q74" s="4" t="s">
        <v>2528</v>
      </c>
      <c r="R74" s="4"/>
      <c r="S74" s="4"/>
      <c r="T74" s="4" t="str">
        <f>HYPERLINK("http://slimages.macys.com/is/image/MCY/20691800 ")</f>
        <v xml:space="preserve">http://slimages.macys.com/is/image/MCY/20691800 </v>
      </c>
    </row>
    <row r="75" spans="1:20" ht="15" customHeight="1" x14ac:dyDescent="0.25">
      <c r="A75" s="4" t="s">
        <v>2489</v>
      </c>
      <c r="B75" s="2" t="s">
        <v>2487</v>
      </c>
      <c r="C75" s="2" t="s">
        <v>2488</v>
      </c>
      <c r="D75" s="5" t="s">
        <v>2490</v>
      </c>
      <c r="E75" s="4" t="s">
        <v>2491</v>
      </c>
      <c r="F75" s="6">
        <v>14221323</v>
      </c>
      <c r="G75" s="3">
        <v>14221323</v>
      </c>
      <c r="H75" s="7">
        <v>762120086899</v>
      </c>
      <c r="I75" s="8" t="s">
        <v>1107</v>
      </c>
      <c r="J75" s="4">
        <v>1</v>
      </c>
      <c r="K75" s="9">
        <v>7.99</v>
      </c>
      <c r="L75" s="9">
        <v>7.99</v>
      </c>
      <c r="M75" s="4" t="s">
        <v>2060</v>
      </c>
      <c r="N75" s="4" t="s">
        <v>2501</v>
      </c>
      <c r="O75" s="4" t="s">
        <v>2653</v>
      </c>
      <c r="P75" s="4" t="s">
        <v>2602</v>
      </c>
      <c r="Q75" s="4" t="s">
        <v>2528</v>
      </c>
      <c r="R75" s="4"/>
      <c r="S75" s="4"/>
      <c r="T75" s="4" t="str">
        <f>HYPERLINK("http://slimages.macys.com/is/image/MCY/20691859 ")</f>
        <v xml:space="preserve">http://slimages.macys.com/is/image/MCY/20691859 </v>
      </c>
    </row>
    <row r="76" spans="1:20" ht="15" customHeight="1" x14ac:dyDescent="0.25">
      <c r="A76" s="4" t="s">
        <v>2489</v>
      </c>
      <c r="B76" s="2" t="s">
        <v>2487</v>
      </c>
      <c r="C76" s="2" t="s">
        <v>2488</v>
      </c>
      <c r="D76" s="5" t="s">
        <v>2490</v>
      </c>
      <c r="E76" s="4" t="s">
        <v>2491</v>
      </c>
      <c r="F76" s="6">
        <v>14221323</v>
      </c>
      <c r="G76" s="3">
        <v>14221323</v>
      </c>
      <c r="H76" s="7">
        <v>80538129152</v>
      </c>
      <c r="I76" s="8" t="s">
        <v>3327</v>
      </c>
      <c r="J76" s="4">
        <v>1</v>
      </c>
      <c r="K76" s="9">
        <v>11.99</v>
      </c>
      <c r="L76" s="9">
        <v>11.99</v>
      </c>
      <c r="M76" s="4">
        <v>64827</v>
      </c>
      <c r="N76" s="4" t="s">
        <v>2523</v>
      </c>
      <c r="O76" s="10">
        <v>45085</v>
      </c>
      <c r="P76" s="4" t="s">
        <v>2666</v>
      </c>
      <c r="Q76" s="4" t="s">
        <v>2778</v>
      </c>
      <c r="R76" s="4"/>
      <c r="S76" s="4"/>
      <c r="T76" s="4" t="str">
        <f>HYPERLINK("http://slimages.macys.com/is/image/MCY/19598486 ")</f>
        <v xml:space="preserve">http://slimages.macys.com/is/image/MCY/19598486 </v>
      </c>
    </row>
    <row r="77" spans="1:20" ht="15" customHeight="1" x14ac:dyDescent="0.25">
      <c r="A77" s="4" t="s">
        <v>2489</v>
      </c>
      <c r="B77" s="2" t="s">
        <v>2487</v>
      </c>
      <c r="C77" s="2" t="s">
        <v>2488</v>
      </c>
      <c r="D77" s="5" t="s">
        <v>2490</v>
      </c>
      <c r="E77" s="4" t="s">
        <v>2491</v>
      </c>
      <c r="F77" s="6">
        <v>14221323</v>
      </c>
      <c r="G77" s="3">
        <v>14221323</v>
      </c>
      <c r="H77" s="7">
        <v>733004729652</v>
      </c>
      <c r="I77" s="8" t="s">
        <v>769</v>
      </c>
      <c r="J77" s="4">
        <v>1</v>
      </c>
      <c r="K77" s="9">
        <v>23.99</v>
      </c>
      <c r="L77" s="9">
        <v>23.99</v>
      </c>
      <c r="M77" s="4" t="s">
        <v>2085</v>
      </c>
      <c r="N77" s="4" t="s">
        <v>2505</v>
      </c>
      <c r="O77" s="4" t="s">
        <v>2519</v>
      </c>
      <c r="P77" s="4" t="s">
        <v>2520</v>
      </c>
      <c r="Q77" s="4" t="s">
        <v>2521</v>
      </c>
      <c r="R77" s="4"/>
      <c r="S77" s="4"/>
      <c r="T77" s="4" t="str">
        <f>HYPERLINK("http://slimages.macys.com/is/image/MCY/20433729 ")</f>
        <v xml:space="preserve">http://slimages.macys.com/is/image/MCY/20433729 </v>
      </c>
    </row>
    <row r="78" spans="1:20" ht="15" customHeight="1" x14ac:dyDescent="0.25">
      <c r="A78" s="4" t="s">
        <v>2489</v>
      </c>
      <c r="B78" s="2" t="s">
        <v>2487</v>
      </c>
      <c r="C78" s="2" t="s">
        <v>2488</v>
      </c>
      <c r="D78" s="5" t="s">
        <v>2490</v>
      </c>
      <c r="E78" s="4" t="s">
        <v>2491</v>
      </c>
      <c r="F78" s="6">
        <v>14221323</v>
      </c>
      <c r="G78" s="3">
        <v>14221323</v>
      </c>
      <c r="H78" s="7">
        <v>194257430335</v>
      </c>
      <c r="I78" s="8" t="s">
        <v>1108</v>
      </c>
      <c r="J78" s="4">
        <v>1</v>
      </c>
      <c r="K78" s="9">
        <v>16.989999999999998</v>
      </c>
      <c r="L78" s="9">
        <v>16.989999999999998</v>
      </c>
      <c r="M78" s="4" t="s">
        <v>3317</v>
      </c>
      <c r="N78" s="4" t="s">
        <v>2501</v>
      </c>
      <c r="O78" s="4" t="s">
        <v>2705</v>
      </c>
      <c r="P78" s="4" t="s">
        <v>2619</v>
      </c>
      <c r="Q78" s="4" t="s">
        <v>2654</v>
      </c>
      <c r="R78" s="4"/>
      <c r="S78" s="4"/>
      <c r="T78" s="4" t="str">
        <f>HYPERLINK("http://slimages.macys.com/is/image/MCY/19941217 ")</f>
        <v xml:space="preserve">http://slimages.macys.com/is/image/MCY/19941217 </v>
      </c>
    </row>
    <row r="79" spans="1:20" ht="15" customHeight="1" x14ac:dyDescent="0.25">
      <c r="A79" s="4" t="s">
        <v>2489</v>
      </c>
      <c r="B79" s="2" t="s">
        <v>2487</v>
      </c>
      <c r="C79" s="2" t="s">
        <v>2488</v>
      </c>
      <c r="D79" s="5" t="s">
        <v>2490</v>
      </c>
      <c r="E79" s="4" t="s">
        <v>2491</v>
      </c>
      <c r="F79" s="6">
        <v>14221323</v>
      </c>
      <c r="G79" s="3">
        <v>14221323</v>
      </c>
      <c r="H79" s="7">
        <v>733004732201</v>
      </c>
      <c r="I79" s="8" t="s">
        <v>1109</v>
      </c>
      <c r="J79" s="4">
        <v>1</v>
      </c>
      <c r="K79" s="9">
        <v>34.99</v>
      </c>
      <c r="L79" s="9">
        <v>34.99</v>
      </c>
      <c r="M79" s="4" t="s">
        <v>1067</v>
      </c>
      <c r="N79" s="4" t="s">
        <v>2508</v>
      </c>
      <c r="O79" s="4">
        <v>5</v>
      </c>
      <c r="P79" s="4" t="s">
        <v>2520</v>
      </c>
      <c r="Q79" s="4" t="s">
        <v>2528</v>
      </c>
      <c r="R79" s="4"/>
      <c r="S79" s="4"/>
      <c r="T79" s="4" t="str">
        <f>HYPERLINK("http://slimages.macys.com/is/image/MCY/1017217 ")</f>
        <v xml:space="preserve">http://slimages.macys.com/is/image/MCY/1017217 </v>
      </c>
    </row>
    <row r="80" spans="1:20" ht="15" customHeight="1" x14ac:dyDescent="0.25">
      <c r="A80" s="4" t="s">
        <v>2489</v>
      </c>
      <c r="B80" s="2" t="s">
        <v>2487</v>
      </c>
      <c r="C80" s="2" t="s">
        <v>2488</v>
      </c>
      <c r="D80" s="5" t="s">
        <v>2490</v>
      </c>
      <c r="E80" s="4" t="s">
        <v>2491</v>
      </c>
      <c r="F80" s="6">
        <v>14221323</v>
      </c>
      <c r="G80" s="3">
        <v>14221323</v>
      </c>
      <c r="H80" s="7">
        <v>733004780936</v>
      </c>
      <c r="I80" s="8" t="s">
        <v>1309</v>
      </c>
      <c r="J80" s="4">
        <v>1</v>
      </c>
      <c r="K80" s="9">
        <v>11.99</v>
      </c>
      <c r="L80" s="9">
        <v>11.99</v>
      </c>
      <c r="M80" s="4" t="s">
        <v>3083</v>
      </c>
      <c r="N80" s="4" t="s">
        <v>2530</v>
      </c>
      <c r="O80" s="4" t="s">
        <v>2628</v>
      </c>
      <c r="P80" s="4" t="s">
        <v>2602</v>
      </c>
      <c r="Q80" s="4" t="s">
        <v>2528</v>
      </c>
      <c r="R80" s="4"/>
      <c r="S80" s="4"/>
      <c r="T80" s="4" t="str">
        <f>HYPERLINK("http://slimages.macys.com/is/image/MCY/20450174 ")</f>
        <v xml:space="preserve">http://slimages.macys.com/is/image/MCY/20450174 </v>
      </c>
    </row>
    <row r="81" spans="1:20" ht="15" customHeight="1" x14ac:dyDescent="0.25">
      <c r="A81" s="4" t="s">
        <v>2489</v>
      </c>
      <c r="B81" s="2" t="s">
        <v>2487</v>
      </c>
      <c r="C81" s="2" t="s">
        <v>2488</v>
      </c>
      <c r="D81" s="5" t="s">
        <v>2490</v>
      </c>
      <c r="E81" s="4" t="s">
        <v>2491</v>
      </c>
      <c r="F81" s="6">
        <v>14221323</v>
      </c>
      <c r="G81" s="3">
        <v>14221323</v>
      </c>
      <c r="H81" s="7">
        <v>733002930159</v>
      </c>
      <c r="I81" s="8" t="s">
        <v>1110</v>
      </c>
      <c r="J81" s="4">
        <v>1</v>
      </c>
      <c r="K81" s="9">
        <v>6.99</v>
      </c>
      <c r="L81" s="9">
        <v>6.99</v>
      </c>
      <c r="M81" s="4" t="s">
        <v>2892</v>
      </c>
      <c r="N81" s="4" t="s">
        <v>2731</v>
      </c>
      <c r="O81" s="4" t="s">
        <v>2519</v>
      </c>
      <c r="P81" s="4" t="s">
        <v>2543</v>
      </c>
      <c r="Q81" s="4" t="s">
        <v>2528</v>
      </c>
      <c r="R81" s="4"/>
      <c r="S81" s="4"/>
      <c r="T81" s="4" t="str">
        <f>HYPERLINK("http://slimages.macys.com/is/image/MCY/17688402 ")</f>
        <v xml:space="preserve">http://slimages.macys.com/is/image/MCY/17688402 </v>
      </c>
    </row>
    <row r="82" spans="1:20" ht="15" customHeight="1" x14ac:dyDescent="0.25">
      <c r="A82" s="4" t="s">
        <v>2489</v>
      </c>
      <c r="B82" s="2" t="s">
        <v>2487</v>
      </c>
      <c r="C82" s="2" t="s">
        <v>2488</v>
      </c>
      <c r="D82" s="5" t="s">
        <v>2490</v>
      </c>
      <c r="E82" s="4" t="s">
        <v>2491</v>
      </c>
      <c r="F82" s="6">
        <v>14221323</v>
      </c>
      <c r="G82" s="3">
        <v>14221323</v>
      </c>
      <c r="H82" s="7">
        <v>733003804992</v>
      </c>
      <c r="I82" s="8" t="s">
        <v>1845</v>
      </c>
      <c r="J82" s="4">
        <v>1</v>
      </c>
      <c r="K82" s="9">
        <v>5.99</v>
      </c>
      <c r="L82" s="9">
        <v>5.99</v>
      </c>
      <c r="M82" s="4" t="s">
        <v>3232</v>
      </c>
      <c r="N82" s="4" t="s">
        <v>2682</v>
      </c>
      <c r="O82" s="4">
        <v>6</v>
      </c>
      <c r="P82" s="4" t="s">
        <v>2520</v>
      </c>
      <c r="Q82" s="4" t="s">
        <v>2528</v>
      </c>
      <c r="R82" s="4"/>
      <c r="S82" s="4"/>
      <c r="T82" s="4" t="str">
        <f>HYPERLINK("http://slimages.macys.com/is/image/MCY/19239511 ")</f>
        <v xml:space="preserve">http://slimages.macys.com/is/image/MCY/19239511 </v>
      </c>
    </row>
    <row r="83" spans="1:20" ht="15" customHeight="1" x14ac:dyDescent="0.25">
      <c r="A83" s="4" t="s">
        <v>2489</v>
      </c>
      <c r="B83" s="2" t="s">
        <v>2487</v>
      </c>
      <c r="C83" s="2" t="s">
        <v>2488</v>
      </c>
      <c r="D83" s="5" t="s">
        <v>2490</v>
      </c>
      <c r="E83" s="4" t="s">
        <v>2491</v>
      </c>
      <c r="F83" s="6">
        <v>14221323</v>
      </c>
      <c r="G83" s="3">
        <v>14221323</v>
      </c>
      <c r="H83" s="7">
        <v>733003144340</v>
      </c>
      <c r="I83" s="8" t="s">
        <v>1111</v>
      </c>
      <c r="J83" s="4">
        <v>1</v>
      </c>
      <c r="K83" s="9">
        <v>12.99</v>
      </c>
      <c r="L83" s="9">
        <v>12.99</v>
      </c>
      <c r="M83" s="4" t="s">
        <v>3096</v>
      </c>
      <c r="N83" s="4" t="s">
        <v>2665</v>
      </c>
      <c r="O83" s="4" t="s">
        <v>2559</v>
      </c>
      <c r="P83" s="4" t="s">
        <v>2503</v>
      </c>
      <c r="Q83" s="4" t="s">
        <v>2504</v>
      </c>
      <c r="R83" s="4"/>
      <c r="S83" s="4"/>
      <c r="T83" s="4" t="str">
        <f>HYPERLINK("http://slimages.macys.com/is/image/MCY/19218033 ")</f>
        <v xml:space="preserve">http://slimages.macys.com/is/image/MCY/19218033 </v>
      </c>
    </row>
    <row r="84" spans="1:20" ht="15" customHeight="1" x14ac:dyDescent="0.25">
      <c r="A84" s="4" t="s">
        <v>2489</v>
      </c>
      <c r="B84" s="2" t="s">
        <v>2487</v>
      </c>
      <c r="C84" s="2" t="s">
        <v>2488</v>
      </c>
      <c r="D84" s="5" t="s">
        <v>2490</v>
      </c>
      <c r="E84" s="4" t="s">
        <v>2491</v>
      </c>
      <c r="F84" s="6">
        <v>14221323</v>
      </c>
      <c r="G84" s="3">
        <v>14221323</v>
      </c>
      <c r="H84" s="7">
        <v>194135264175</v>
      </c>
      <c r="I84" s="8" t="s">
        <v>1112</v>
      </c>
      <c r="J84" s="4">
        <v>1</v>
      </c>
      <c r="K84" s="9">
        <v>12.76</v>
      </c>
      <c r="L84" s="9">
        <v>12.76</v>
      </c>
      <c r="M84" s="4" t="s">
        <v>1113</v>
      </c>
      <c r="N84" s="4"/>
      <c r="O84" s="4" t="s">
        <v>2559</v>
      </c>
      <c r="P84" s="4" t="s">
        <v>2494</v>
      </c>
      <c r="Q84" s="4" t="s">
        <v>2560</v>
      </c>
      <c r="R84" s="4"/>
      <c r="S84" s="4"/>
      <c r="T84" s="4" t="str">
        <f>HYPERLINK("http://slimages.macys.com/is/image/MCY/19146343 ")</f>
        <v xml:space="preserve">http://slimages.macys.com/is/image/MCY/19146343 </v>
      </c>
    </row>
    <row r="85" spans="1:20" ht="15" customHeight="1" x14ac:dyDescent="0.25">
      <c r="A85" s="4" t="s">
        <v>2489</v>
      </c>
      <c r="B85" s="2" t="s">
        <v>2487</v>
      </c>
      <c r="C85" s="2" t="s">
        <v>2488</v>
      </c>
      <c r="D85" s="5" t="s">
        <v>2490</v>
      </c>
      <c r="E85" s="4" t="s">
        <v>2491</v>
      </c>
      <c r="F85" s="6">
        <v>14221323</v>
      </c>
      <c r="G85" s="3">
        <v>14221323</v>
      </c>
      <c r="H85" s="7">
        <v>733003805036</v>
      </c>
      <c r="I85" s="8" t="s">
        <v>3263</v>
      </c>
      <c r="J85" s="4">
        <v>1</v>
      </c>
      <c r="K85" s="9">
        <v>5.99</v>
      </c>
      <c r="L85" s="9">
        <v>5.99</v>
      </c>
      <c r="M85" s="4" t="s">
        <v>3232</v>
      </c>
      <c r="N85" s="4" t="s">
        <v>2682</v>
      </c>
      <c r="O85" s="4" t="s">
        <v>2629</v>
      </c>
      <c r="P85" s="4" t="s">
        <v>2520</v>
      </c>
      <c r="Q85" s="4" t="s">
        <v>2528</v>
      </c>
      <c r="R85" s="4"/>
      <c r="S85" s="4"/>
      <c r="T85" s="4" t="str">
        <f>HYPERLINK("http://slimages.macys.com/is/image/MCY/19239511 ")</f>
        <v xml:space="preserve">http://slimages.macys.com/is/image/MCY/19239511 </v>
      </c>
    </row>
    <row r="86" spans="1:20" ht="15" customHeight="1" x14ac:dyDescent="0.25">
      <c r="A86" s="4" t="s">
        <v>2489</v>
      </c>
      <c r="B86" s="2" t="s">
        <v>2487</v>
      </c>
      <c r="C86" s="2" t="s">
        <v>2488</v>
      </c>
      <c r="D86" s="5" t="s">
        <v>2490</v>
      </c>
      <c r="E86" s="4" t="s">
        <v>2491</v>
      </c>
      <c r="F86" s="6">
        <v>14221323</v>
      </c>
      <c r="G86" s="3">
        <v>14221323</v>
      </c>
      <c r="H86" s="7">
        <v>762120020169</v>
      </c>
      <c r="I86" s="8" t="s">
        <v>3286</v>
      </c>
      <c r="J86" s="4">
        <v>3</v>
      </c>
      <c r="K86" s="9">
        <v>6.99</v>
      </c>
      <c r="L86" s="9">
        <v>20.97</v>
      </c>
      <c r="M86" s="4" t="s">
        <v>3235</v>
      </c>
      <c r="N86" s="4" t="s">
        <v>2638</v>
      </c>
      <c r="O86" s="4" t="s">
        <v>2566</v>
      </c>
      <c r="P86" s="4" t="s">
        <v>2503</v>
      </c>
      <c r="Q86" s="4" t="s">
        <v>2504</v>
      </c>
      <c r="R86" s="4"/>
      <c r="S86" s="4"/>
      <c r="T86" s="4" t="str">
        <f>HYPERLINK("http://slimages.macys.com/is/image/MCY/20436495 ")</f>
        <v xml:space="preserve">http://slimages.macys.com/is/image/MCY/20436495 </v>
      </c>
    </row>
    <row r="87" spans="1:20" ht="15" customHeight="1" x14ac:dyDescent="0.25">
      <c r="A87" s="4" t="s">
        <v>2489</v>
      </c>
      <c r="B87" s="2" t="s">
        <v>2487</v>
      </c>
      <c r="C87" s="2" t="s">
        <v>2488</v>
      </c>
      <c r="D87" s="5" t="s">
        <v>2490</v>
      </c>
      <c r="E87" s="4" t="s">
        <v>2491</v>
      </c>
      <c r="F87" s="6">
        <v>14221323</v>
      </c>
      <c r="G87" s="3">
        <v>14221323</v>
      </c>
      <c r="H87" s="7">
        <v>733004801372</v>
      </c>
      <c r="I87" s="8" t="s">
        <v>1114</v>
      </c>
      <c r="J87" s="4">
        <v>1</v>
      </c>
      <c r="K87" s="9">
        <v>12.99</v>
      </c>
      <c r="L87" s="9">
        <v>12.99</v>
      </c>
      <c r="M87" s="4" t="s">
        <v>1792</v>
      </c>
      <c r="N87" s="4" t="s">
        <v>2561</v>
      </c>
      <c r="O87" s="4" t="s">
        <v>2628</v>
      </c>
      <c r="P87" s="4" t="s">
        <v>2602</v>
      </c>
      <c r="Q87" s="4" t="s">
        <v>2528</v>
      </c>
      <c r="R87" s="4"/>
      <c r="S87" s="4"/>
      <c r="T87" s="4" t="str">
        <f>HYPERLINK("http://slimages.macys.com/is/image/MCY/1059791 ")</f>
        <v xml:space="preserve">http://slimages.macys.com/is/image/MCY/1059791 </v>
      </c>
    </row>
    <row r="88" spans="1:20" ht="15" customHeight="1" x14ac:dyDescent="0.25">
      <c r="A88" s="4" t="s">
        <v>2489</v>
      </c>
      <c r="B88" s="2" t="s">
        <v>2487</v>
      </c>
      <c r="C88" s="2" t="s">
        <v>2488</v>
      </c>
      <c r="D88" s="5" t="s">
        <v>2490</v>
      </c>
      <c r="E88" s="4" t="s">
        <v>2491</v>
      </c>
      <c r="F88" s="6">
        <v>14221323</v>
      </c>
      <c r="G88" s="3">
        <v>14221323</v>
      </c>
      <c r="H88" s="7">
        <v>733004952838</v>
      </c>
      <c r="I88" s="8" t="s">
        <v>1631</v>
      </c>
      <c r="J88" s="4">
        <v>1</v>
      </c>
      <c r="K88" s="9">
        <v>13.99</v>
      </c>
      <c r="L88" s="9">
        <v>13.99</v>
      </c>
      <c r="M88" s="4" t="s">
        <v>3456</v>
      </c>
      <c r="N88" s="4" t="s">
        <v>2505</v>
      </c>
      <c r="O88" s="4"/>
      <c r="P88" s="4" t="s">
        <v>2503</v>
      </c>
      <c r="Q88" s="4" t="s">
        <v>2504</v>
      </c>
      <c r="R88" s="4"/>
      <c r="S88" s="4"/>
      <c r="T88" s="4" t="str">
        <f>HYPERLINK("http://slimages.macys.com/is/image/MCY/20142515 ")</f>
        <v xml:space="preserve">http://slimages.macys.com/is/image/MCY/20142515 </v>
      </c>
    </row>
    <row r="89" spans="1:20" ht="15" customHeight="1" x14ac:dyDescent="0.25">
      <c r="A89" s="4" t="s">
        <v>2489</v>
      </c>
      <c r="B89" s="2" t="s">
        <v>2487</v>
      </c>
      <c r="C89" s="2" t="s">
        <v>2488</v>
      </c>
      <c r="D89" s="5" t="s">
        <v>2490</v>
      </c>
      <c r="E89" s="4" t="s">
        <v>2491</v>
      </c>
      <c r="F89" s="6">
        <v>14221323</v>
      </c>
      <c r="G89" s="3">
        <v>14221323</v>
      </c>
      <c r="H89" s="7">
        <v>733004722295</v>
      </c>
      <c r="I89" s="8" t="s">
        <v>3302</v>
      </c>
      <c r="J89" s="4">
        <v>2</v>
      </c>
      <c r="K89" s="9">
        <v>18.989999999999998</v>
      </c>
      <c r="L89" s="9">
        <v>37.979999999999997</v>
      </c>
      <c r="M89" s="4" t="s">
        <v>3303</v>
      </c>
      <c r="N89" s="4" t="s">
        <v>2505</v>
      </c>
      <c r="O89" s="4" t="s">
        <v>2566</v>
      </c>
      <c r="P89" s="4" t="s">
        <v>2503</v>
      </c>
      <c r="Q89" s="4" t="s">
        <v>2504</v>
      </c>
      <c r="R89" s="4"/>
      <c r="S89" s="4"/>
      <c r="T89" s="4" t="str">
        <f>HYPERLINK("http://slimages.macys.com/is/image/MCY/19978179 ")</f>
        <v xml:space="preserve">http://slimages.macys.com/is/image/MCY/19978179 </v>
      </c>
    </row>
    <row r="90" spans="1:20" ht="15" customHeight="1" x14ac:dyDescent="0.25">
      <c r="A90" s="4" t="s">
        <v>2489</v>
      </c>
      <c r="B90" s="2" t="s">
        <v>2487</v>
      </c>
      <c r="C90" s="2" t="s">
        <v>2488</v>
      </c>
      <c r="D90" s="5" t="s">
        <v>2490</v>
      </c>
      <c r="E90" s="4" t="s">
        <v>2491</v>
      </c>
      <c r="F90" s="6">
        <v>14221323</v>
      </c>
      <c r="G90" s="3">
        <v>14221323</v>
      </c>
      <c r="H90" s="7">
        <v>733004745836</v>
      </c>
      <c r="I90" s="8" t="s">
        <v>2938</v>
      </c>
      <c r="J90" s="4">
        <v>2</v>
      </c>
      <c r="K90" s="9">
        <v>6.99</v>
      </c>
      <c r="L90" s="9">
        <v>13.98</v>
      </c>
      <c r="M90" s="4" t="s">
        <v>2939</v>
      </c>
      <c r="N90" s="4" t="s">
        <v>2638</v>
      </c>
      <c r="O90" s="4" t="s">
        <v>2601</v>
      </c>
      <c r="P90" s="4" t="s">
        <v>2503</v>
      </c>
      <c r="Q90" s="4" t="s">
        <v>2504</v>
      </c>
      <c r="R90" s="4"/>
      <c r="S90" s="4"/>
      <c r="T90" s="4" t="str">
        <f>HYPERLINK("http://slimages.macys.com/is/image/MCY/19977792 ")</f>
        <v xml:space="preserve">http://slimages.macys.com/is/image/MCY/19977792 </v>
      </c>
    </row>
    <row r="91" spans="1:20" ht="15" customHeight="1" x14ac:dyDescent="0.25">
      <c r="A91" s="4" t="s">
        <v>2489</v>
      </c>
      <c r="B91" s="2" t="s">
        <v>2487</v>
      </c>
      <c r="C91" s="2" t="s">
        <v>2488</v>
      </c>
      <c r="D91" s="5" t="s">
        <v>2490</v>
      </c>
      <c r="E91" s="4" t="s">
        <v>2491</v>
      </c>
      <c r="F91" s="6">
        <v>14221323</v>
      </c>
      <c r="G91" s="3">
        <v>14221323</v>
      </c>
      <c r="H91" s="7">
        <v>733004745812</v>
      </c>
      <c r="I91" s="8" t="s">
        <v>2851</v>
      </c>
      <c r="J91" s="4">
        <v>1</v>
      </c>
      <c r="K91" s="9">
        <v>6.99</v>
      </c>
      <c r="L91" s="9">
        <v>6.99</v>
      </c>
      <c r="M91" s="4" t="s">
        <v>2852</v>
      </c>
      <c r="N91" s="4" t="s">
        <v>2565</v>
      </c>
      <c r="O91" s="4" t="s">
        <v>2502</v>
      </c>
      <c r="P91" s="4" t="s">
        <v>2503</v>
      </c>
      <c r="Q91" s="4" t="s">
        <v>2504</v>
      </c>
      <c r="R91" s="4"/>
      <c r="S91" s="4"/>
      <c r="T91" s="4" t="str">
        <f>HYPERLINK("http://slimages.macys.com/is/image/MCY/19977364 ")</f>
        <v xml:space="preserve">http://slimages.macys.com/is/image/MCY/19977364 </v>
      </c>
    </row>
    <row r="92" spans="1:20" ht="15" customHeight="1" x14ac:dyDescent="0.25">
      <c r="A92" s="4" t="s">
        <v>2489</v>
      </c>
      <c r="B92" s="2" t="s">
        <v>2487</v>
      </c>
      <c r="C92" s="2" t="s">
        <v>2488</v>
      </c>
      <c r="D92" s="5" t="s">
        <v>2490</v>
      </c>
      <c r="E92" s="4" t="s">
        <v>2491</v>
      </c>
      <c r="F92" s="6">
        <v>14221323</v>
      </c>
      <c r="G92" s="3">
        <v>14221323</v>
      </c>
      <c r="H92" s="7">
        <v>762120160858</v>
      </c>
      <c r="I92" s="8" t="s">
        <v>2717</v>
      </c>
      <c r="J92" s="4">
        <v>1</v>
      </c>
      <c r="K92" s="9">
        <v>7.99</v>
      </c>
      <c r="L92" s="9">
        <v>7.99</v>
      </c>
      <c r="M92" s="4" t="s">
        <v>2627</v>
      </c>
      <c r="N92" s="4" t="s">
        <v>2514</v>
      </c>
      <c r="O92" s="4" t="s">
        <v>2629</v>
      </c>
      <c r="P92" s="4" t="s">
        <v>2602</v>
      </c>
      <c r="Q92" s="4" t="s">
        <v>2528</v>
      </c>
      <c r="R92" s="4"/>
      <c r="S92" s="4"/>
      <c r="T92" s="4" t="str">
        <f>HYPERLINK("http://slimages.macys.com/is/image/MCY/20819718 ")</f>
        <v xml:space="preserve">http://slimages.macys.com/is/image/MCY/20819718 </v>
      </c>
    </row>
    <row r="93" spans="1:20" ht="15" customHeight="1" x14ac:dyDescent="0.25">
      <c r="A93" s="4" t="s">
        <v>2489</v>
      </c>
      <c r="B93" s="2" t="s">
        <v>2487</v>
      </c>
      <c r="C93" s="2" t="s">
        <v>2488</v>
      </c>
      <c r="D93" s="5" t="s">
        <v>2490</v>
      </c>
      <c r="E93" s="4" t="s">
        <v>2491</v>
      </c>
      <c r="F93" s="6">
        <v>14221323</v>
      </c>
      <c r="G93" s="3">
        <v>14221323</v>
      </c>
      <c r="H93" s="7">
        <v>733004591815</v>
      </c>
      <c r="I93" s="8" t="s">
        <v>2109</v>
      </c>
      <c r="J93" s="4">
        <v>1</v>
      </c>
      <c r="K93" s="9">
        <v>17.989999999999998</v>
      </c>
      <c r="L93" s="9">
        <v>17.989999999999998</v>
      </c>
      <c r="M93" s="4">
        <v>10013097300</v>
      </c>
      <c r="N93" s="4" t="s">
        <v>2505</v>
      </c>
      <c r="O93" s="4" t="s">
        <v>2831</v>
      </c>
      <c r="P93" s="4" t="s">
        <v>2503</v>
      </c>
      <c r="Q93" s="4" t="s">
        <v>2504</v>
      </c>
      <c r="R93" s="4"/>
      <c r="S93" s="4"/>
      <c r="T93" s="4" t="str">
        <f>HYPERLINK("http://slimages.macys.com/is/image/MCY/19755903 ")</f>
        <v xml:space="preserve">http://slimages.macys.com/is/image/MCY/19755903 </v>
      </c>
    </row>
    <row r="94" spans="1:20" ht="15" customHeight="1" x14ac:dyDescent="0.25">
      <c r="A94" s="4" t="s">
        <v>2489</v>
      </c>
      <c r="B94" s="2" t="s">
        <v>2487</v>
      </c>
      <c r="C94" s="2" t="s">
        <v>2488</v>
      </c>
      <c r="D94" s="5" t="s">
        <v>2490</v>
      </c>
      <c r="E94" s="4" t="s">
        <v>2491</v>
      </c>
      <c r="F94" s="6">
        <v>14221323</v>
      </c>
      <c r="G94" s="3">
        <v>14221323</v>
      </c>
      <c r="H94" s="7">
        <v>733004722714</v>
      </c>
      <c r="I94" s="8" t="s">
        <v>2044</v>
      </c>
      <c r="J94" s="4">
        <v>1</v>
      </c>
      <c r="K94" s="9">
        <v>25.99</v>
      </c>
      <c r="L94" s="9">
        <v>25.99</v>
      </c>
      <c r="M94" s="4" t="s">
        <v>3193</v>
      </c>
      <c r="N94" s="4" t="s">
        <v>2530</v>
      </c>
      <c r="O94" s="4" t="s">
        <v>2566</v>
      </c>
      <c r="P94" s="4" t="s">
        <v>2503</v>
      </c>
      <c r="Q94" s="4" t="s">
        <v>2504</v>
      </c>
      <c r="R94" s="4"/>
      <c r="S94" s="4"/>
      <c r="T94" s="4" t="str">
        <f>HYPERLINK("http://slimages.macys.com/is/image/MCY/19977902 ")</f>
        <v xml:space="preserve">http://slimages.macys.com/is/image/MCY/19977902 </v>
      </c>
    </row>
    <row r="95" spans="1:20" ht="15" customHeight="1" x14ac:dyDescent="0.25">
      <c r="A95" s="4" t="s">
        <v>2489</v>
      </c>
      <c r="B95" s="2" t="s">
        <v>2487</v>
      </c>
      <c r="C95" s="2" t="s">
        <v>2488</v>
      </c>
      <c r="D95" s="5" t="s">
        <v>2490</v>
      </c>
      <c r="E95" s="4" t="s">
        <v>2491</v>
      </c>
      <c r="F95" s="6">
        <v>14221323</v>
      </c>
      <c r="G95" s="3">
        <v>14221323</v>
      </c>
      <c r="H95" s="7">
        <v>762120113267</v>
      </c>
      <c r="I95" s="8" t="s">
        <v>1915</v>
      </c>
      <c r="J95" s="4">
        <v>2</v>
      </c>
      <c r="K95" s="9">
        <v>6.99</v>
      </c>
      <c r="L95" s="9">
        <v>13.98</v>
      </c>
      <c r="M95" s="4" t="s">
        <v>2660</v>
      </c>
      <c r="N95" s="4" t="s">
        <v>2598</v>
      </c>
      <c r="O95" s="4" t="s">
        <v>2601</v>
      </c>
      <c r="P95" s="4" t="s">
        <v>2503</v>
      </c>
      <c r="Q95" s="4" t="s">
        <v>2504</v>
      </c>
      <c r="R95" s="4"/>
      <c r="S95" s="4"/>
      <c r="T95" s="4" t="str">
        <f>HYPERLINK("http://slimages.macys.com/is/image/MCY/19977390 ")</f>
        <v xml:space="preserve">http://slimages.macys.com/is/image/MCY/19977390 </v>
      </c>
    </row>
    <row r="96" spans="1:20" ht="15" customHeight="1" x14ac:dyDescent="0.25">
      <c r="A96" s="4" t="s">
        <v>2489</v>
      </c>
      <c r="B96" s="2" t="s">
        <v>2487</v>
      </c>
      <c r="C96" s="2" t="s">
        <v>2488</v>
      </c>
      <c r="D96" s="5" t="s">
        <v>2490</v>
      </c>
      <c r="E96" s="4" t="s">
        <v>2491</v>
      </c>
      <c r="F96" s="6">
        <v>14221323</v>
      </c>
      <c r="G96" s="3">
        <v>14221323</v>
      </c>
      <c r="H96" s="7">
        <v>733004780691</v>
      </c>
      <c r="I96" s="8" t="s">
        <v>3246</v>
      </c>
      <c r="J96" s="4">
        <v>1</v>
      </c>
      <c r="K96" s="9">
        <v>11.99</v>
      </c>
      <c r="L96" s="9">
        <v>11.99</v>
      </c>
      <c r="M96" s="4" t="s">
        <v>3083</v>
      </c>
      <c r="N96" s="4" t="s">
        <v>2638</v>
      </c>
      <c r="O96" s="4" t="s">
        <v>2650</v>
      </c>
      <c r="P96" s="4" t="s">
        <v>2602</v>
      </c>
      <c r="Q96" s="4" t="s">
        <v>2528</v>
      </c>
      <c r="R96" s="4"/>
      <c r="S96" s="4"/>
      <c r="T96" s="4" t="str">
        <f>HYPERLINK("http://slimages.macys.com/is/image/MCY/20450174 ")</f>
        <v xml:space="preserve">http://slimages.macys.com/is/image/MCY/20450174 </v>
      </c>
    </row>
    <row r="97" spans="1:20" ht="15" customHeight="1" x14ac:dyDescent="0.25">
      <c r="A97" s="4" t="s">
        <v>2489</v>
      </c>
      <c r="B97" s="2" t="s">
        <v>2487</v>
      </c>
      <c r="C97" s="2" t="s">
        <v>2488</v>
      </c>
      <c r="D97" s="5" t="s">
        <v>2490</v>
      </c>
      <c r="E97" s="4" t="s">
        <v>2491</v>
      </c>
      <c r="F97" s="6">
        <v>14221323</v>
      </c>
      <c r="G97" s="3">
        <v>14221323</v>
      </c>
      <c r="H97" s="7">
        <v>762120084871</v>
      </c>
      <c r="I97" s="8" t="s">
        <v>1583</v>
      </c>
      <c r="J97" s="4">
        <v>1</v>
      </c>
      <c r="K97" s="9">
        <v>7.99</v>
      </c>
      <c r="L97" s="9">
        <v>7.99</v>
      </c>
      <c r="M97" s="4" t="s">
        <v>2094</v>
      </c>
      <c r="N97" s="4" t="s">
        <v>2567</v>
      </c>
      <c r="O97" s="4" t="s">
        <v>2628</v>
      </c>
      <c r="P97" s="4" t="s">
        <v>2602</v>
      </c>
      <c r="Q97" s="4" t="s">
        <v>2528</v>
      </c>
      <c r="R97" s="4"/>
      <c r="S97" s="4"/>
      <c r="T97" s="4" t="str">
        <f>HYPERLINK("http://slimages.macys.com/is/image/MCY/20691796 ")</f>
        <v xml:space="preserve">http://slimages.macys.com/is/image/MCY/20691796 </v>
      </c>
    </row>
    <row r="98" spans="1:20" ht="15" customHeight="1" x14ac:dyDescent="0.25">
      <c r="A98" s="4" t="s">
        <v>2489</v>
      </c>
      <c r="B98" s="2" t="s">
        <v>2487</v>
      </c>
      <c r="C98" s="2" t="s">
        <v>2488</v>
      </c>
      <c r="D98" s="5" t="s">
        <v>2490</v>
      </c>
      <c r="E98" s="4" t="s">
        <v>2491</v>
      </c>
      <c r="F98" s="6">
        <v>14221323</v>
      </c>
      <c r="G98" s="3">
        <v>14221323</v>
      </c>
      <c r="H98" s="7">
        <v>733004085871</v>
      </c>
      <c r="I98" s="8" t="s">
        <v>1906</v>
      </c>
      <c r="J98" s="4">
        <v>1</v>
      </c>
      <c r="K98" s="9">
        <v>21.99</v>
      </c>
      <c r="L98" s="9">
        <v>21.99</v>
      </c>
      <c r="M98" s="4" t="s">
        <v>3337</v>
      </c>
      <c r="N98" s="4" t="s">
        <v>2523</v>
      </c>
      <c r="O98" s="4" t="s">
        <v>2519</v>
      </c>
      <c r="P98" s="4" t="s">
        <v>2543</v>
      </c>
      <c r="Q98" s="4" t="s">
        <v>2528</v>
      </c>
      <c r="R98" s="4"/>
      <c r="S98" s="4"/>
      <c r="T98" s="4" t="str">
        <f>HYPERLINK("http://slimages.macys.com/is/image/MCY/20084023 ")</f>
        <v xml:space="preserve">http://slimages.macys.com/is/image/MCY/20084023 </v>
      </c>
    </row>
    <row r="99" spans="1:20" ht="15" customHeight="1" x14ac:dyDescent="0.25">
      <c r="A99" s="4" t="s">
        <v>2489</v>
      </c>
      <c r="B99" s="2" t="s">
        <v>2487</v>
      </c>
      <c r="C99" s="2" t="s">
        <v>2488</v>
      </c>
      <c r="D99" s="5" t="s">
        <v>2490</v>
      </c>
      <c r="E99" s="4" t="s">
        <v>2491</v>
      </c>
      <c r="F99" s="6">
        <v>14221323</v>
      </c>
      <c r="G99" s="3">
        <v>14221323</v>
      </c>
      <c r="H99" s="7">
        <v>762120086325</v>
      </c>
      <c r="I99" s="8" t="s">
        <v>1115</v>
      </c>
      <c r="J99" s="4">
        <v>1</v>
      </c>
      <c r="K99" s="9">
        <v>7.99</v>
      </c>
      <c r="L99" s="9">
        <v>7.99</v>
      </c>
      <c r="M99" s="4" t="s">
        <v>2030</v>
      </c>
      <c r="N99" s="4" t="s">
        <v>2501</v>
      </c>
      <c r="O99" s="4" t="s">
        <v>2629</v>
      </c>
      <c r="P99" s="4" t="s">
        <v>2602</v>
      </c>
      <c r="Q99" s="4" t="s">
        <v>2528</v>
      </c>
      <c r="R99" s="4"/>
      <c r="S99" s="4"/>
      <c r="T99" s="4" t="str">
        <f>HYPERLINK("http://slimages.macys.com/is/image/MCY/20691841 ")</f>
        <v xml:space="preserve">http://slimages.macys.com/is/image/MCY/20691841 </v>
      </c>
    </row>
    <row r="100" spans="1:20" ht="15" customHeight="1" x14ac:dyDescent="0.25">
      <c r="A100" s="4" t="s">
        <v>2489</v>
      </c>
      <c r="B100" s="2" t="s">
        <v>2487</v>
      </c>
      <c r="C100" s="2" t="s">
        <v>2488</v>
      </c>
      <c r="D100" s="5" t="s">
        <v>2490</v>
      </c>
      <c r="E100" s="4" t="s">
        <v>2491</v>
      </c>
      <c r="F100" s="6">
        <v>14221323</v>
      </c>
      <c r="G100" s="3">
        <v>14221323</v>
      </c>
      <c r="H100" s="7">
        <v>762120263290</v>
      </c>
      <c r="I100" s="8" t="s">
        <v>1161</v>
      </c>
      <c r="J100" s="4">
        <v>3</v>
      </c>
      <c r="K100" s="9">
        <v>13.99</v>
      </c>
      <c r="L100" s="9">
        <v>41.97</v>
      </c>
      <c r="M100" s="4" t="s">
        <v>3033</v>
      </c>
      <c r="N100" s="4" t="s">
        <v>2514</v>
      </c>
      <c r="O100" s="4" t="s">
        <v>2498</v>
      </c>
      <c r="P100" s="4" t="s">
        <v>2543</v>
      </c>
      <c r="Q100" s="4" t="s">
        <v>2528</v>
      </c>
      <c r="R100" s="4"/>
      <c r="S100" s="4"/>
      <c r="T100" s="4" t="str">
        <f>HYPERLINK("http://slimages.macys.com/is/image/MCY/20846556 ")</f>
        <v xml:space="preserve">http://slimages.macys.com/is/image/MCY/20846556 </v>
      </c>
    </row>
    <row r="101" spans="1:20" ht="15" customHeight="1" x14ac:dyDescent="0.25">
      <c r="A101" s="4" t="s">
        <v>2489</v>
      </c>
      <c r="B101" s="2" t="s">
        <v>2487</v>
      </c>
      <c r="C101" s="2" t="s">
        <v>2488</v>
      </c>
      <c r="D101" s="5" t="s">
        <v>2490</v>
      </c>
      <c r="E101" s="4" t="s">
        <v>2491</v>
      </c>
      <c r="F101" s="6">
        <v>14221323</v>
      </c>
      <c r="G101" s="3">
        <v>14221323</v>
      </c>
      <c r="H101" s="7">
        <v>195883922751</v>
      </c>
      <c r="I101" s="8" t="s">
        <v>0</v>
      </c>
      <c r="J101" s="4">
        <v>2</v>
      </c>
      <c r="K101" s="9">
        <v>8.31</v>
      </c>
      <c r="L101" s="9">
        <v>16.62</v>
      </c>
      <c r="M101" s="4" t="s">
        <v>1208</v>
      </c>
      <c r="N101" s="4" t="s">
        <v>2501</v>
      </c>
      <c r="O101" s="4">
        <v>3</v>
      </c>
      <c r="P101" s="4" t="s">
        <v>2506</v>
      </c>
      <c r="Q101" s="4" t="s">
        <v>2527</v>
      </c>
      <c r="R101" s="4"/>
      <c r="S101" s="4"/>
      <c r="T101" s="4" t="str">
        <f>HYPERLINK("http://slimages.macys.com/is/image/MCY/20876641 ")</f>
        <v xml:space="preserve">http://slimages.macys.com/is/image/MCY/20876641 </v>
      </c>
    </row>
    <row r="102" spans="1:20" ht="15" customHeight="1" x14ac:dyDescent="0.25">
      <c r="A102" s="4" t="s">
        <v>2489</v>
      </c>
      <c r="B102" s="2" t="s">
        <v>2487</v>
      </c>
      <c r="C102" s="2" t="s">
        <v>2488</v>
      </c>
      <c r="D102" s="5" t="s">
        <v>2490</v>
      </c>
      <c r="E102" s="4" t="s">
        <v>2491</v>
      </c>
      <c r="F102" s="6">
        <v>14221323</v>
      </c>
      <c r="G102" s="3">
        <v>14221323</v>
      </c>
      <c r="H102" s="7">
        <v>762120113014</v>
      </c>
      <c r="I102" s="8" t="s">
        <v>1497</v>
      </c>
      <c r="J102" s="4">
        <v>2</v>
      </c>
      <c r="K102" s="9">
        <v>6.99</v>
      </c>
      <c r="L102" s="9">
        <v>13.98</v>
      </c>
      <c r="M102" s="4" t="s">
        <v>3332</v>
      </c>
      <c r="N102" s="4" t="s">
        <v>2571</v>
      </c>
      <c r="O102" s="4" t="s">
        <v>2502</v>
      </c>
      <c r="P102" s="4" t="s">
        <v>2503</v>
      </c>
      <c r="Q102" s="4" t="s">
        <v>2504</v>
      </c>
      <c r="R102" s="4"/>
      <c r="S102" s="4"/>
      <c r="T102" s="4" t="str">
        <f>HYPERLINK("http://slimages.macys.com/is/image/MCY/19976989 ")</f>
        <v xml:space="preserve">http://slimages.macys.com/is/image/MCY/19976989 </v>
      </c>
    </row>
    <row r="103" spans="1:20" ht="15" customHeight="1" x14ac:dyDescent="0.25">
      <c r="A103" s="4" t="s">
        <v>2489</v>
      </c>
      <c r="B103" s="2" t="s">
        <v>2487</v>
      </c>
      <c r="C103" s="2" t="s">
        <v>2488</v>
      </c>
      <c r="D103" s="5" t="s">
        <v>2490</v>
      </c>
      <c r="E103" s="4" t="s">
        <v>2491</v>
      </c>
      <c r="F103" s="6">
        <v>14221323</v>
      </c>
      <c r="G103" s="3">
        <v>14221323</v>
      </c>
      <c r="H103" s="7">
        <v>196027056042</v>
      </c>
      <c r="I103" s="8" t="s">
        <v>1083</v>
      </c>
      <c r="J103" s="4">
        <v>1</v>
      </c>
      <c r="K103" s="9">
        <v>17.989999999999998</v>
      </c>
      <c r="L103" s="9">
        <v>17.989999999999998</v>
      </c>
      <c r="M103" s="4" t="s">
        <v>1084</v>
      </c>
      <c r="N103" s="4" t="s">
        <v>2544</v>
      </c>
      <c r="O103" s="4" t="s">
        <v>2524</v>
      </c>
      <c r="P103" s="4" t="s">
        <v>2569</v>
      </c>
      <c r="Q103" s="4" t="s">
        <v>2590</v>
      </c>
      <c r="R103" s="4"/>
      <c r="S103" s="4"/>
      <c r="T103" s="4"/>
    </row>
    <row r="104" spans="1:20" ht="15" customHeight="1" x14ac:dyDescent="0.25">
      <c r="A104" s="4" t="s">
        <v>2489</v>
      </c>
      <c r="B104" s="2" t="s">
        <v>2487</v>
      </c>
      <c r="C104" s="2" t="s">
        <v>2488</v>
      </c>
      <c r="D104" s="5" t="s">
        <v>2490</v>
      </c>
      <c r="E104" s="4" t="s">
        <v>2491</v>
      </c>
      <c r="F104" s="6">
        <v>14221323</v>
      </c>
      <c r="G104" s="3">
        <v>14221323</v>
      </c>
      <c r="H104" s="7">
        <v>196027062777</v>
      </c>
      <c r="I104" s="8" t="s">
        <v>1</v>
      </c>
      <c r="J104" s="4">
        <v>2</v>
      </c>
      <c r="K104" s="9">
        <v>17.989999999999998</v>
      </c>
      <c r="L104" s="9">
        <v>35.979999999999997</v>
      </c>
      <c r="M104" s="4" t="s">
        <v>3115</v>
      </c>
      <c r="N104" s="4" t="s">
        <v>2544</v>
      </c>
      <c r="O104" s="4" t="s">
        <v>2587</v>
      </c>
      <c r="P104" s="4" t="s">
        <v>2569</v>
      </c>
      <c r="Q104" s="4" t="s">
        <v>2590</v>
      </c>
      <c r="R104" s="4"/>
      <c r="S104" s="4"/>
      <c r="T104" s="4" t="str">
        <f>HYPERLINK("http://slimages.macys.com/is/image/MCY/20662548 ")</f>
        <v xml:space="preserve">http://slimages.macys.com/is/image/MCY/20662548 </v>
      </c>
    </row>
    <row r="105" spans="1:20" ht="15" customHeight="1" x14ac:dyDescent="0.25">
      <c r="A105" s="4" t="s">
        <v>2489</v>
      </c>
      <c r="B105" s="2" t="s">
        <v>2487</v>
      </c>
      <c r="C105" s="2" t="s">
        <v>2488</v>
      </c>
      <c r="D105" s="5" t="s">
        <v>2490</v>
      </c>
      <c r="E105" s="4" t="s">
        <v>2491</v>
      </c>
      <c r="F105" s="6">
        <v>14221323</v>
      </c>
      <c r="G105" s="3">
        <v>14221323</v>
      </c>
      <c r="H105" s="7">
        <v>195883922980</v>
      </c>
      <c r="I105" s="8" t="s">
        <v>1258</v>
      </c>
      <c r="J105" s="4">
        <v>1</v>
      </c>
      <c r="K105" s="9">
        <v>8.31</v>
      </c>
      <c r="L105" s="9">
        <v>8.31</v>
      </c>
      <c r="M105" s="4" t="s">
        <v>3158</v>
      </c>
      <c r="N105" s="4" t="s">
        <v>2508</v>
      </c>
      <c r="O105" s="4">
        <v>5</v>
      </c>
      <c r="P105" s="4" t="s">
        <v>2506</v>
      </c>
      <c r="Q105" s="4" t="s">
        <v>2527</v>
      </c>
      <c r="R105" s="4"/>
      <c r="S105" s="4"/>
      <c r="T105" s="4" t="str">
        <f>HYPERLINK("http://slimages.macys.com/is/image/MCY/20905079 ")</f>
        <v xml:space="preserve">http://slimages.macys.com/is/image/MCY/20905079 </v>
      </c>
    </row>
    <row r="106" spans="1:20" ht="15" customHeight="1" x14ac:dyDescent="0.25">
      <c r="A106" s="4" t="s">
        <v>2489</v>
      </c>
      <c r="B106" s="2" t="s">
        <v>2487</v>
      </c>
      <c r="C106" s="2" t="s">
        <v>2488</v>
      </c>
      <c r="D106" s="5" t="s">
        <v>2490</v>
      </c>
      <c r="E106" s="4" t="s">
        <v>2491</v>
      </c>
      <c r="F106" s="6">
        <v>14221323</v>
      </c>
      <c r="G106" s="3">
        <v>14221323</v>
      </c>
      <c r="H106" s="7">
        <v>733003705947</v>
      </c>
      <c r="I106" s="8" t="s">
        <v>2849</v>
      </c>
      <c r="J106" s="4">
        <v>1</v>
      </c>
      <c r="K106" s="9">
        <v>22.99</v>
      </c>
      <c r="L106" s="9">
        <v>22.99</v>
      </c>
      <c r="M106" s="4" t="s">
        <v>2850</v>
      </c>
      <c r="N106" s="4" t="s">
        <v>2514</v>
      </c>
      <c r="O106" s="4" t="s">
        <v>2629</v>
      </c>
      <c r="P106" s="4" t="s">
        <v>2602</v>
      </c>
      <c r="Q106" s="4" t="s">
        <v>2528</v>
      </c>
      <c r="R106" s="4"/>
      <c r="S106" s="4"/>
      <c r="T106" s="4" t="str">
        <f>HYPERLINK("http://slimages.macys.com/is/image/MCY/19632125 ")</f>
        <v xml:space="preserve">http://slimages.macys.com/is/image/MCY/19632125 </v>
      </c>
    </row>
    <row r="107" spans="1:20" ht="15" customHeight="1" x14ac:dyDescent="0.25">
      <c r="A107" s="4" t="s">
        <v>2489</v>
      </c>
      <c r="B107" s="2" t="s">
        <v>2487</v>
      </c>
      <c r="C107" s="2" t="s">
        <v>2488</v>
      </c>
      <c r="D107" s="5" t="s">
        <v>2490</v>
      </c>
      <c r="E107" s="4" t="s">
        <v>2491</v>
      </c>
      <c r="F107" s="6">
        <v>14221323</v>
      </c>
      <c r="G107" s="3">
        <v>14221323</v>
      </c>
      <c r="H107" s="7">
        <v>733004745829</v>
      </c>
      <c r="I107" s="8" t="s">
        <v>2379</v>
      </c>
      <c r="J107" s="4">
        <v>1</v>
      </c>
      <c r="K107" s="9">
        <v>6.99</v>
      </c>
      <c r="L107" s="9">
        <v>6.99</v>
      </c>
      <c r="M107" s="4" t="s">
        <v>2939</v>
      </c>
      <c r="N107" s="4" t="s">
        <v>2638</v>
      </c>
      <c r="O107" s="4" t="s">
        <v>2559</v>
      </c>
      <c r="P107" s="4" t="s">
        <v>2503</v>
      </c>
      <c r="Q107" s="4" t="s">
        <v>2504</v>
      </c>
      <c r="R107" s="4"/>
      <c r="S107" s="4"/>
      <c r="T107" s="4" t="str">
        <f>HYPERLINK("http://slimages.macys.com/is/image/MCY/19977792 ")</f>
        <v xml:space="preserve">http://slimages.macys.com/is/image/MCY/19977792 </v>
      </c>
    </row>
    <row r="108" spans="1:20" ht="15" customHeight="1" x14ac:dyDescent="0.25">
      <c r="A108" s="4" t="s">
        <v>2489</v>
      </c>
      <c r="B108" s="2" t="s">
        <v>2487</v>
      </c>
      <c r="C108" s="2" t="s">
        <v>2488</v>
      </c>
      <c r="D108" s="5" t="s">
        <v>2490</v>
      </c>
      <c r="E108" s="4" t="s">
        <v>2491</v>
      </c>
      <c r="F108" s="6">
        <v>14221323</v>
      </c>
      <c r="G108" s="3">
        <v>14221323</v>
      </c>
      <c r="H108" s="7">
        <v>733003705770</v>
      </c>
      <c r="I108" s="8" t="s">
        <v>757</v>
      </c>
      <c r="J108" s="4">
        <v>1</v>
      </c>
      <c r="K108" s="9">
        <v>22.99</v>
      </c>
      <c r="L108" s="9">
        <v>22.99</v>
      </c>
      <c r="M108" s="4" t="s">
        <v>758</v>
      </c>
      <c r="N108" s="4" t="s">
        <v>2548</v>
      </c>
      <c r="O108" s="4" t="s">
        <v>2628</v>
      </c>
      <c r="P108" s="4" t="s">
        <v>2602</v>
      </c>
      <c r="Q108" s="4" t="s">
        <v>2528</v>
      </c>
      <c r="R108" s="4"/>
      <c r="S108" s="4"/>
      <c r="T108" s="4" t="str">
        <f>HYPERLINK("http://slimages.macys.com/is/image/MCY/19632125 ")</f>
        <v xml:space="preserve">http://slimages.macys.com/is/image/MCY/19632125 </v>
      </c>
    </row>
    <row r="109" spans="1:20" ht="15" customHeight="1" x14ac:dyDescent="0.25">
      <c r="A109" s="4" t="s">
        <v>2489</v>
      </c>
      <c r="B109" s="2" t="s">
        <v>2487</v>
      </c>
      <c r="C109" s="2" t="s">
        <v>2488</v>
      </c>
      <c r="D109" s="5" t="s">
        <v>2490</v>
      </c>
      <c r="E109" s="4" t="s">
        <v>2491</v>
      </c>
      <c r="F109" s="6">
        <v>14221323</v>
      </c>
      <c r="G109" s="3">
        <v>14221323</v>
      </c>
      <c r="H109" s="7">
        <v>762120084802</v>
      </c>
      <c r="I109" s="8" t="s">
        <v>772</v>
      </c>
      <c r="J109" s="4">
        <v>1</v>
      </c>
      <c r="K109" s="9">
        <v>7.99</v>
      </c>
      <c r="L109" s="9">
        <v>7.99</v>
      </c>
      <c r="M109" s="4" t="s">
        <v>2756</v>
      </c>
      <c r="N109" s="4" t="s">
        <v>2501</v>
      </c>
      <c r="O109" s="4" t="s">
        <v>2629</v>
      </c>
      <c r="P109" s="4" t="s">
        <v>2602</v>
      </c>
      <c r="Q109" s="4" t="s">
        <v>2528</v>
      </c>
      <c r="R109" s="4"/>
      <c r="S109" s="4"/>
      <c r="T109" s="4" t="str">
        <f>HYPERLINK("http://slimages.macys.com/is/image/MCY/1088549 ")</f>
        <v xml:space="preserve">http://slimages.macys.com/is/image/MCY/1088549 </v>
      </c>
    </row>
    <row r="110" spans="1:20" ht="15" customHeight="1" x14ac:dyDescent="0.25">
      <c r="A110" s="4" t="s">
        <v>2489</v>
      </c>
      <c r="B110" s="2" t="s">
        <v>2487</v>
      </c>
      <c r="C110" s="2" t="s">
        <v>2488</v>
      </c>
      <c r="D110" s="5" t="s">
        <v>2490</v>
      </c>
      <c r="E110" s="4" t="s">
        <v>2491</v>
      </c>
      <c r="F110" s="6">
        <v>14221323</v>
      </c>
      <c r="G110" s="3">
        <v>14221323</v>
      </c>
      <c r="H110" s="7">
        <v>195883381121</v>
      </c>
      <c r="I110" s="8" t="s">
        <v>2</v>
      </c>
      <c r="J110" s="4">
        <v>1</v>
      </c>
      <c r="K110" s="9">
        <v>12.99</v>
      </c>
      <c r="L110" s="9">
        <v>12.99</v>
      </c>
      <c r="M110" s="4" t="s">
        <v>959</v>
      </c>
      <c r="N110" s="4" t="s">
        <v>2501</v>
      </c>
      <c r="O110" s="4">
        <v>2</v>
      </c>
      <c r="P110" s="4" t="s">
        <v>2506</v>
      </c>
      <c r="Q110" s="4" t="s">
        <v>2527</v>
      </c>
      <c r="R110" s="4"/>
      <c r="S110" s="4"/>
      <c r="T110" s="4" t="str">
        <f>HYPERLINK("http://slimages.macys.com/is/image/MCY/20192133 ")</f>
        <v xml:space="preserve">http://slimages.macys.com/is/image/MCY/20192133 </v>
      </c>
    </row>
    <row r="111" spans="1:20" ht="15" customHeight="1" x14ac:dyDescent="0.25">
      <c r="A111" s="4" t="s">
        <v>2489</v>
      </c>
      <c r="B111" s="2" t="s">
        <v>2487</v>
      </c>
      <c r="C111" s="2" t="s">
        <v>2488</v>
      </c>
      <c r="D111" s="5" t="s">
        <v>2490</v>
      </c>
      <c r="E111" s="4" t="s">
        <v>2491</v>
      </c>
      <c r="F111" s="6">
        <v>14221323</v>
      </c>
      <c r="G111" s="3">
        <v>14221323</v>
      </c>
      <c r="H111" s="7">
        <v>13244665461</v>
      </c>
      <c r="I111" s="8" t="s">
        <v>3</v>
      </c>
      <c r="J111" s="4">
        <v>4</v>
      </c>
      <c r="K111" s="9">
        <v>12.99</v>
      </c>
      <c r="L111" s="9">
        <v>51.96</v>
      </c>
      <c r="M111" s="4" t="s">
        <v>4</v>
      </c>
      <c r="N111" s="4" t="s">
        <v>2518</v>
      </c>
      <c r="O111" s="4" t="s">
        <v>2538</v>
      </c>
      <c r="P111" s="4" t="s">
        <v>2539</v>
      </c>
      <c r="Q111" s="4" t="s">
        <v>3223</v>
      </c>
      <c r="R111" s="4"/>
      <c r="S111" s="4"/>
      <c r="T111" s="4" t="str">
        <f>HYPERLINK("http://slimages.macys.com/is/image/MCY/20090218 ")</f>
        <v xml:space="preserve">http://slimages.macys.com/is/image/MCY/20090218 </v>
      </c>
    </row>
    <row r="112" spans="1:20" ht="15" customHeight="1" x14ac:dyDescent="0.25">
      <c r="A112" s="4" t="s">
        <v>2489</v>
      </c>
      <c r="B112" s="2" t="s">
        <v>2487</v>
      </c>
      <c r="C112" s="2" t="s">
        <v>2488</v>
      </c>
      <c r="D112" s="5" t="s">
        <v>2490</v>
      </c>
      <c r="E112" s="4" t="s">
        <v>2491</v>
      </c>
      <c r="F112" s="6">
        <v>14221323</v>
      </c>
      <c r="G112" s="3">
        <v>14221323</v>
      </c>
      <c r="H112" s="7">
        <v>733004729669</v>
      </c>
      <c r="I112" s="8" t="s">
        <v>1559</v>
      </c>
      <c r="J112" s="4">
        <v>1</v>
      </c>
      <c r="K112" s="9">
        <v>23.99</v>
      </c>
      <c r="L112" s="9">
        <v>23.99</v>
      </c>
      <c r="M112" s="4" t="s">
        <v>2085</v>
      </c>
      <c r="N112" s="4" t="s">
        <v>2505</v>
      </c>
      <c r="O112" s="4" t="s">
        <v>2555</v>
      </c>
      <c r="P112" s="4" t="s">
        <v>2520</v>
      </c>
      <c r="Q112" s="4" t="s">
        <v>2521</v>
      </c>
      <c r="R112" s="4"/>
      <c r="S112" s="4"/>
      <c r="T112" s="4" t="str">
        <f>HYPERLINK("http://slimages.macys.com/is/image/MCY/20433729 ")</f>
        <v xml:space="preserve">http://slimages.macys.com/is/image/MCY/20433729 </v>
      </c>
    </row>
    <row r="113" spans="1:20" ht="15" customHeight="1" x14ac:dyDescent="0.25">
      <c r="A113" s="4" t="s">
        <v>2489</v>
      </c>
      <c r="B113" s="2" t="s">
        <v>2487</v>
      </c>
      <c r="C113" s="2" t="s">
        <v>2488</v>
      </c>
      <c r="D113" s="5" t="s">
        <v>2490</v>
      </c>
      <c r="E113" s="4" t="s">
        <v>2491</v>
      </c>
      <c r="F113" s="6">
        <v>14221323</v>
      </c>
      <c r="G113" s="3">
        <v>14221323</v>
      </c>
      <c r="H113" s="7">
        <v>733004591891</v>
      </c>
      <c r="I113" s="8" t="s">
        <v>1612</v>
      </c>
      <c r="J113" s="4">
        <v>1</v>
      </c>
      <c r="K113" s="9">
        <v>14.99</v>
      </c>
      <c r="L113" s="9">
        <v>14.99</v>
      </c>
      <c r="M113" s="4">
        <v>10013151100</v>
      </c>
      <c r="N113" s="4" t="s">
        <v>2505</v>
      </c>
      <c r="O113" s="4" t="s">
        <v>2601</v>
      </c>
      <c r="P113" s="4" t="s">
        <v>2503</v>
      </c>
      <c r="Q113" s="4" t="s">
        <v>2504</v>
      </c>
      <c r="R113" s="4"/>
      <c r="S113" s="4"/>
      <c r="T113" s="4" t="str">
        <f>HYPERLINK("http://slimages.macys.com/is/image/MCY/19755878 ")</f>
        <v xml:space="preserve">http://slimages.macys.com/is/image/MCY/19755878 </v>
      </c>
    </row>
    <row r="114" spans="1:20" ht="15" customHeight="1" x14ac:dyDescent="0.25">
      <c r="A114" s="4" t="s">
        <v>2489</v>
      </c>
      <c r="B114" s="2" t="s">
        <v>2487</v>
      </c>
      <c r="C114" s="2" t="s">
        <v>2488</v>
      </c>
      <c r="D114" s="5" t="s">
        <v>2490</v>
      </c>
      <c r="E114" s="4" t="s">
        <v>2491</v>
      </c>
      <c r="F114" s="6">
        <v>14221323</v>
      </c>
      <c r="G114" s="3">
        <v>14221323</v>
      </c>
      <c r="H114" s="7">
        <v>733003705893</v>
      </c>
      <c r="I114" s="8" t="s">
        <v>5</v>
      </c>
      <c r="J114" s="4">
        <v>1</v>
      </c>
      <c r="K114" s="9">
        <v>22.99</v>
      </c>
      <c r="L114" s="9">
        <v>22.99</v>
      </c>
      <c r="M114" s="4" t="s">
        <v>1100</v>
      </c>
      <c r="N114" s="4" t="s">
        <v>2514</v>
      </c>
      <c r="O114" s="4" t="s">
        <v>2628</v>
      </c>
      <c r="P114" s="4" t="s">
        <v>2602</v>
      </c>
      <c r="Q114" s="4" t="s">
        <v>2528</v>
      </c>
      <c r="R114" s="4"/>
      <c r="S114" s="4"/>
      <c r="T114" s="4" t="str">
        <f>HYPERLINK("http://slimages.macys.com/is/image/MCY/19632125 ")</f>
        <v xml:space="preserve">http://slimages.macys.com/is/image/MCY/19632125 </v>
      </c>
    </row>
    <row r="115" spans="1:20" ht="15" customHeight="1" x14ac:dyDescent="0.25">
      <c r="A115" s="4" t="s">
        <v>2489</v>
      </c>
      <c r="B115" s="2" t="s">
        <v>2487</v>
      </c>
      <c r="C115" s="2" t="s">
        <v>2488</v>
      </c>
      <c r="D115" s="5" t="s">
        <v>2490</v>
      </c>
      <c r="E115" s="4" t="s">
        <v>2491</v>
      </c>
      <c r="F115" s="6">
        <v>14221323</v>
      </c>
      <c r="G115" s="3">
        <v>14221323</v>
      </c>
      <c r="H115" s="7">
        <v>762120023559</v>
      </c>
      <c r="I115" s="8" t="s">
        <v>2931</v>
      </c>
      <c r="J115" s="4">
        <v>1</v>
      </c>
      <c r="K115" s="9">
        <v>7.99</v>
      </c>
      <c r="L115" s="9">
        <v>7.99</v>
      </c>
      <c r="M115" s="4" t="s">
        <v>2649</v>
      </c>
      <c r="N115" s="4" t="s">
        <v>2571</v>
      </c>
      <c r="O115" s="4" t="s">
        <v>2629</v>
      </c>
      <c r="P115" s="4" t="s">
        <v>2503</v>
      </c>
      <c r="Q115" s="4" t="s">
        <v>2504</v>
      </c>
      <c r="R115" s="4"/>
      <c r="S115" s="4"/>
      <c r="T115" s="4" t="str">
        <f>HYPERLINK("http://slimages.macys.com/is/image/MCY/19976982 ")</f>
        <v xml:space="preserve">http://slimages.macys.com/is/image/MCY/19976982 </v>
      </c>
    </row>
    <row r="116" spans="1:20" ht="15" customHeight="1" x14ac:dyDescent="0.25">
      <c r="A116" s="4" t="s">
        <v>2489</v>
      </c>
      <c r="B116" s="2" t="s">
        <v>2487</v>
      </c>
      <c r="C116" s="2" t="s">
        <v>2488</v>
      </c>
      <c r="D116" s="5" t="s">
        <v>2490</v>
      </c>
      <c r="E116" s="4" t="s">
        <v>2491</v>
      </c>
      <c r="F116" s="6">
        <v>14221323</v>
      </c>
      <c r="G116" s="3">
        <v>14221323</v>
      </c>
      <c r="H116" s="7">
        <v>733004732232</v>
      </c>
      <c r="I116" s="8" t="s">
        <v>6</v>
      </c>
      <c r="J116" s="4">
        <v>1</v>
      </c>
      <c r="K116" s="9">
        <v>34.99</v>
      </c>
      <c r="L116" s="9">
        <v>34.99</v>
      </c>
      <c r="M116" s="4" t="s">
        <v>1067</v>
      </c>
      <c r="N116" s="4" t="s">
        <v>2508</v>
      </c>
      <c r="O116" s="4" t="s">
        <v>2587</v>
      </c>
      <c r="P116" s="4" t="s">
        <v>2520</v>
      </c>
      <c r="Q116" s="4" t="s">
        <v>2528</v>
      </c>
      <c r="R116" s="4"/>
      <c r="S116" s="4"/>
      <c r="T116" s="4" t="str">
        <f>HYPERLINK("http://slimages.macys.com/is/image/MCY/20441765 ")</f>
        <v xml:space="preserve">http://slimages.macys.com/is/image/MCY/20441765 </v>
      </c>
    </row>
    <row r="117" spans="1:20" ht="15" customHeight="1" x14ac:dyDescent="0.25">
      <c r="A117" s="4" t="s">
        <v>2489</v>
      </c>
      <c r="B117" s="2" t="s">
        <v>2487</v>
      </c>
      <c r="C117" s="2" t="s">
        <v>2488</v>
      </c>
      <c r="D117" s="5" t="s">
        <v>2490</v>
      </c>
      <c r="E117" s="4" t="s">
        <v>2491</v>
      </c>
      <c r="F117" s="6">
        <v>14221323</v>
      </c>
      <c r="G117" s="3">
        <v>14221323</v>
      </c>
      <c r="H117" s="7">
        <v>733004088681</v>
      </c>
      <c r="I117" s="8" t="s">
        <v>912</v>
      </c>
      <c r="J117" s="4">
        <v>1</v>
      </c>
      <c r="K117" s="9">
        <v>7.99</v>
      </c>
      <c r="L117" s="9">
        <v>7.99</v>
      </c>
      <c r="M117" s="4" t="s">
        <v>7</v>
      </c>
      <c r="N117" s="4" t="s">
        <v>2600</v>
      </c>
      <c r="O117" s="4" t="s">
        <v>2650</v>
      </c>
      <c r="P117" s="4" t="s">
        <v>2602</v>
      </c>
      <c r="Q117" s="4" t="s">
        <v>2528</v>
      </c>
      <c r="R117" s="4"/>
      <c r="S117" s="4"/>
      <c r="T117" s="4" t="str">
        <f>HYPERLINK("http://slimages.macys.com/is/image/MCY/19988236 ")</f>
        <v xml:space="preserve">http://slimages.macys.com/is/image/MCY/19988236 </v>
      </c>
    </row>
    <row r="118" spans="1:20" ht="15" customHeight="1" x14ac:dyDescent="0.25">
      <c r="A118" s="4" t="s">
        <v>2489</v>
      </c>
      <c r="B118" s="2" t="s">
        <v>2487</v>
      </c>
      <c r="C118" s="2" t="s">
        <v>2488</v>
      </c>
      <c r="D118" s="5" t="s">
        <v>2490</v>
      </c>
      <c r="E118" s="4" t="s">
        <v>2491</v>
      </c>
      <c r="F118" s="6">
        <v>14221323</v>
      </c>
      <c r="G118" s="3">
        <v>14221323</v>
      </c>
      <c r="H118" s="7">
        <v>733003643676</v>
      </c>
      <c r="I118" s="8" t="s">
        <v>1783</v>
      </c>
      <c r="J118" s="4">
        <v>1</v>
      </c>
      <c r="K118" s="9">
        <v>18.989999999999998</v>
      </c>
      <c r="L118" s="9">
        <v>18.989999999999998</v>
      </c>
      <c r="M118" s="4" t="s">
        <v>2984</v>
      </c>
      <c r="N118" s="4" t="s">
        <v>2561</v>
      </c>
      <c r="O118" s="4" t="s">
        <v>2629</v>
      </c>
      <c r="P118" s="4" t="s">
        <v>2515</v>
      </c>
      <c r="Q118" s="4" t="s">
        <v>2972</v>
      </c>
      <c r="R118" s="4"/>
      <c r="S118" s="4"/>
      <c r="T118" s="4" t="str">
        <f>HYPERLINK("http://slimages.macys.com/is/image/MCY/20008204 ")</f>
        <v xml:space="preserve">http://slimages.macys.com/is/image/MCY/20008204 </v>
      </c>
    </row>
    <row r="119" spans="1:20" ht="15" customHeight="1" x14ac:dyDescent="0.25">
      <c r="A119" s="4" t="s">
        <v>2489</v>
      </c>
      <c r="B119" s="2" t="s">
        <v>2487</v>
      </c>
      <c r="C119" s="2" t="s">
        <v>2488</v>
      </c>
      <c r="D119" s="5" t="s">
        <v>2490</v>
      </c>
      <c r="E119" s="4" t="s">
        <v>2491</v>
      </c>
      <c r="F119" s="6">
        <v>14221323</v>
      </c>
      <c r="G119" s="3">
        <v>14221323</v>
      </c>
      <c r="H119" s="7">
        <v>762120123808</v>
      </c>
      <c r="I119" s="8" t="s">
        <v>3322</v>
      </c>
      <c r="J119" s="4">
        <v>1</v>
      </c>
      <c r="K119" s="9">
        <v>7.99</v>
      </c>
      <c r="L119" s="9">
        <v>7.99</v>
      </c>
      <c r="M119" s="4" t="s">
        <v>3276</v>
      </c>
      <c r="N119" s="4" t="s">
        <v>2497</v>
      </c>
      <c r="O119" s="4" t="s">
        <v>2650</v>
      </c>
      <c r="P119" s="4" t="s">
        <v>2503</v>
      </c>
      <c r="Q119" s="4" t="s">
        <v>2504</v>
      </c>
      <c r="R119" s="4"/>
      <c r="S119" s="4"/>
      <c r="T119" s="4" t="str">
        <f>HYPERLINK("http://slimages.macys.com/is/image/MCY/20386104 ")</f>
        <v xml:space="preserve">http://slimages.macys.com/is/image/MCY/20386104 </v>
      </c>
    </row>
    <row r="120" spans="1:20" ht="15" customHeight="1" x14ac:dyDescent="0.25">
      <c r="A120" s="4" t="s">
        <v>2489</v>
      </c>
      <c r="B120" s="2" t="s">
        <v>2487</v>
      </c>
      <c r="C120" s="2" t="s">
        <v>2488</v>
      </c>
      <c r="D120" s="5" t="s">
        <v>2490</v>
      </c>
      <c r="E120" s="4" t="s">
        <v>2491</v>
      </c>
      <c r="F120" s="6">
        <v>14221323</v>
      </c>
      <c r="G120" s="3">
        <v>14221323</v>
      </c>
      <c r="H120" s="7">
        <v>733004738272</v>
      </c>
      <c r="I120" s="8" t="s">
        <v>2838</v>
      </c>
      <c r="J120" s="4">
        <v>1</v>
      </c>
      <c r="K120" s="9">
        <v>6.99</v>
      </c>
      <c r="L120" s="9">
        <v>6.99</v>
      </c>
      <c r="M120" s="4" t="s">
        <v>2777</v>
      </c>
      <c r="N120" s="4" t="s">
        <v>2638</v>
      </c>
      <c r="O120" s="4" t="s">
        <v>2566</v>
      </c>
      <c r="P120" s="4" t="s">
        <v>2503</v>
      </c>
      <c r="Q120" s="4" t="s">
        <v>2504</v>
      </c>
      <c r="R120" s="4"/>
      <c r="S120" s="4"/>
      <c r="T120" s="4" t="str">
        <f>HYPERLINK("http://slimages.macys.com/is/image/MCY/19983979 ")</f>
        <v xml:space="preserve">http://slimages.macys.com/is/image/MCY/19983979 </v>
      </c>
    </row>
    <row r="121" spans="1:20" ht="15" customHeight="1" x14ac:dyDescent="0.25">
      <c r="A121" s="4" t="s">
        <v>2489</v>
      </c>
      <c r="B121" s="2" t="s">
        <v>2487</v>
      </c>
      <c r="C121" s="2" t="s">
        <v>2488</v>
      </c>
      <c r="D121" s="5" t="s">
        <v>2490</v>
      </c>
      <c r="E121" s="4" t="s">
        <v>2491</v>
      </c>
      <c r="F121" s="6">
        <v>14221323</v>
      </c>
      <c r="G121" s="3">
        <v>14221323</v>
      </c>
      <c r="H121" s="7">
        <v>762120084512</v>
      </c>
      <c r="I121" s="8" t="s">
        <v>8</v>
      </c>
      <c r="J121" s="4">
        <v>1</v>
      </c>
      <c r="K121" s="9">
        <v>7.99</v>
      </c>
      <c r="L121" s="9">
        <v>7.99</v>
      </c>
      <c r="M121" s="4" t="s">
        <v>3123</v>
      </c>
      <c r="N121" s="4" t="s">
        <v>2501</v>
      </c>
      <c r="O121" s="4" t="s">
        <v>2629</v>
      </c>
      <c r="P121" s="4" t="s">
        <v>2602</v>
      </c>
      <c r="Q121" s="4" t="s">
        <v>2528</v>
      </c>
      <c r="R121" s="4"/>
      <c r="S121" s="4"/>
      <c r="T121" s="4" t="str">
        <f>HYPERLINK("http://slimages.macys.com/is/image/MCY/20691765 ")</f>
        <v xml:space="preserve">http://slimages.macys.com/is/image/MCY/20691765 </v>
      </c>
    </row>
    <row r="122" spans="1:20" ht="15" customHeight="1" x14ac:dyDescent="0.25">
      <c r="A122" s="4" t="s">
        <v>2489</v>
      </c>
      <c r="B122" s="2" t="s">
        <v>2487</v>
      </c>
      <c r="C122" s="2" t="s">
        <v>2488</v>
      </c>
      <c r="D122" s="5" t="s">
        <v>2490</v>
      </c>
      <c r="E122" s="4" t="s">
        <v>2491</v>
      </c>
      <c r="F122" s="6">
        <v>14221323</v>
      </c>
      <c r="G122" s="3">
        <v>14221323</v>
      </c>
      <c r="H122" s="7">
        <v>194257505682</v>
      </c>
      <c r="I122" s="8" t="s">
        <v>2651</v>
      </c>
      <c r="J122" s="4">
        <v>1</v>
      </c>
      <c r="K122" s="9">
        <v>8.25</v>
      </c>
      <c r="L122" s="9">
        <v>8.25</v>
      </c>
      <c r="M122" s="4" t="s">
        <v>2652</v>
      </c>
      <c r="N122" s="4" t="s">
        <v>2514</v>
      </c>
      <c r="O122" s="4" t="s">
        <v>2653</v>
      </c>
      <c r="P122" s="4" t="s">
        <v>2619</v>
      </c>
      <c r="Q122" s="4" t="s">
        <v>2654</v>
      </c>
      <c r="R122" s="4"/>
      <c r="S122" s="4"/>
      <c r="T122" s="4" t="str">
        <f>HYPERLINK("http://slimages.macys.com/is/image/MCY/19902277 ")</f>
        <v xml:space="preserve">http://slimages.macys.com/is/image/MCY/19902277 </v>
      </c>
    </row>
    <row r="123" spans="1:20" ht="15" customHeight="1" x14ac:dyDescent="0.25">
      <c r="A123" s="4" t="s">
        <v>2489</v>
      </c>
      <c r="B123" s="2" t="s">
        <v>2487</v>
      </c>
      <c r="C123" s="2" t="s">
        <v>2488</v>
      </c>
      <c r="D123" s="5" t="s">
        <v>2490</v>
      </c>
      <c r="E123" s="4" t="s">
        <v>2491</v>
      </c>
      <c r="F123" s="6">
        <v>14221323</v>
      </c>
      <c r="G123" s="3">
        <v>14221323</v>
      </c>
      <c r="H123" s="7">
        <v>733003735333</v>
      </c>
      <c r="I123" s="8" t="s">
        <v>2917</v>
      </c>
      <c r="J123" s="4">
        <v>1</v>
      </c>
      <c r="K123" s="9">
        <v>21.99</v>
      </c>
      <c r="L123" s="9">
        <v>21.99</v>
      </c>
      <c r="M123" s="4" t="s">
        <v>9</v>
      </c>
      <c r="N123" s="4"/>
      <c r="O123" s="4" t="s">
        <v>2519</v>
      </c>
      <c r="P123" s="4" t="s">
        <v>2543</v>
      </c>
      <c r="Q123" s="4" t="s">
        <v>2528</v>
      </c>
      <c r="R123" s="4"/>
      <c r="S123" s="4"/>
      <c r="T123" s="4" t="str">
        <f>HYPERLINK("http://slimages.macys.com/is/image/MCY/19635843 ")</f>
        <v xml:space="preserve">http://slimages.macys.com/is/image/MCY/19635843 </v>
      </c>
    </row>
    <row r="124" spans="1:20" ht="15" customHeight="1" x14ac:dyDescent="0.25">
      <c r="A124" s="4" t="s">
        <v>2489</v>
      </c>
      <c r="B124" s="2" t="s">
        <v>2487</v>
      </c>
      <c r="C124" s="2" t="s">
        <v>2488</v>
      </c>
      <c r="D124" s="5" t="s">
        <v>2490</v>
      </c>
      <c r="E124" s="4" t="s">
        <v>2491</v>
      </c>
      <c r="F124" s="6">
        <v>14221323</v>
      </c>
      <c r="G124" s="3">
        <v>14221323</v>
      </c>
      <c r="H124" s="7">
        <v>194135407596</v>
      </c>
      <c r="I124" s="8" t="s">
        <v>3222</v>
      </c>
      <c r="J124" s="4">
        <v>1</v>
      </c>
      <c r="K124" s="9">
        <v>25.07</v>
      </c>
      <c r="L124" s="9">
        <v>25.07</v>
      </c>
      <c r="M124" s="4" t="s">
        <v>2855</v>
      </c>
      <c r="N124" s="4"/>
      <c r="O124" s="4" t="s">
        <v>2559</v>
      </c>
      <c r="P124" s="4" t="s">
        <v>2494</v>
      </c>
      <c r="Q124" s="4" t="s">
        <v>2560</v>
      </c>
      <c r="R124" s="4"/>
      <c r="S124" s="4"/>
      <c r="T124" s="4" t="str">
        <f>HYPERLINK("http://slimages.macys.com/is/image/MCY/19836379 ")</f>
        <v xml:space="preserve">http://slimages.macys.com/is/image/MCY/19836379 </v>
      </c>
    </row>
    <row r="125" spans="1:20" ht="15" customHeight="1" x14ac:dyDescent="0.25">
      <c r="A125" s="4" t="s">
        <v>2489</v>
      </c>
      <c r="B125" s="2" t="s">
        <v>2487</v>
      </c>
      <c r="C125" s="2" t="s">
        <v>2488</v>
      </c>
      <c r="D125" s="5" t="s">
        <v>2490</v>
      </c>
      <c r="E125" s="4" t="s">
        <v>2491</v>
      </c>
      <c r="F125" s="6">
        <v>14221323</v>
      </c>
      <c r="G125" s="3">
        <v>14221323</v>
      </c>
      <c r="H125" s="7">
        <v>194135409057</v>
      </c>
      <c r="I125" s="8" t="s">
        <v>10</v>
      </c>
      <c r="J125" s="4">
        <v>1</v>
      </c>
      <c r="K125" s="9">
        <v>17.29</v>
      </c>
      <c r="L125" s="9">
        <v>17.29</v>
      </c>
      <c r="M125" s="4" t="s">
        <v>11</v>
      </c>
      <c r="N125" s="4"/>
      <c r="O125" s="4" t="s">
        <v>2607</v>
      </c>
      <c r="P125" s="4" t="s">
        <v>2494</v>
      </c>
      <c r="Q125" s="4" t="s">
        <v>2495</v>
      </c>
      <c r="R125" s="4"/>
      <c r="S125" s="4"/>
      <c r="T125" s="4" t="str">
        <f>HYPERLINK("http://slimages.macys.com/is/image/MCY/19915996 ")</f>
        <v xml:space="preserve">http://slimages.macys.com/is/image/MCY/19915996 </v>
      </c>
    </row>
    <row r="126" spans="1:20" ht="15" customHeight="1" x14ac:dyDescent="0.25">
      <c r="A126" s="4" t="s">
        <v>2489</v>
      </c>
      <c r="B126" s="2" t="s">
        <v>2487</v>
      </c>
      <c r="C126" s="2" t="s">
        <v>2488</v>
      </c>
      <c r="D126" s="5" t="s">
        <v>2490</v>
      </c>
      <c r="E126" s="4" t="s">
        <v>2491</v>
      </c>
      <c r="F126" s="6">
        <v>14221323</v>
      </c>
      <c r="G126" s="3">
        <v>14221323</v>
      </c>
      <c r="H126" s="7">
        <v>733004085895</v>
      </c>
      <c r="I126" s="8" t="s">
        <v>3336</v>
      </c>
      <c r="J126" s="4">
        <v>1</v>
      </c>
      <c r="K126" s="9">
        <v>21.99</v>
      </c>
      <c r="L126" s="9">
        <v>21.99</v>
      </c>
      <c r="M126" s="4" t="s">
        <v>3337</v>
      </c>
      <c r="N126" s="4" t="s">
        <v>2523</v>
      </c>
      <c r="O126" s="4" t="s">
        <v>2498</v>
      </c>
      <c r="P126" s="4" t="s">
        <v>2543</v>
      </c>
      <c r="Q126" s="4" t="s">
        <v>2528</v>
      </c>
      <c r="R126" s="4"/>
      <c r="S126" s="4"/>
      <c r="T126" s="4" t="str">
        <f>HYPERLINK("http://slimages.macys.com/is/image/MCY/20084023 ")</f>
        <v xml:space="preserve">http://slimages.macys.com/is/image/MCY/20084023 </v>
      </c>
    </row>
    <row r="127" spans="1:20" ht="15" customHeight="1" x14ac:dyDescent="0.25">
      <c r="A127" s="4" t="s">
        <v>2489</v>
      </c>
      <c r="B127" s="2" t="s">
        <v>2487</v>
      </c>
      <c r="C127" s="2" t="s">
        <v>2488</v>
      </c>
      <c r="D127" s="5" t="s">
        <v>2490</v>
      </c>
      <c r="E127" s="4" t="s">
        <v>2491</v>
      </c>
      <c r="F127" s="6">
        <v>14221323</v>
      </c>
      <c r="G127" s="3">
        <v>14221323</v>
      </c>
      <c r="H127" s="7">
        <v>733004723070</v>
      </c>
      <c r="I127" s="8" t="s">
        <v>3230</v>
      </c>
      <c r="J127" s="4">
        <v>2</v>
      </c>
      <c r="K127" s="9">
        <v>25.99</v>
      </c>
      <c r="L127" s="9">
        <v>51.98</v>
      </c>
      <c r="M127" s="4" t="s">
        <v>3178</v>
      </c>
      <c r="N127" s="4" t="s">
        <v>2518</v>
      </c>
      <c r="O127" s="4" t="s">
        <v>2559</v>
      </c>
      <c r="P127" s="4" t="s">
        <v>2503</v>
      </c>
      <c r="Q127" s="4" t="s">
        <v>2504</v>
      </c>
      <c r="R127" s="4"/>
      <c r="S127" s="4"/>
      <c r="T127" s="4" t="str">
        <f>HYPERLINK("http://slimages.macys.com/is/image/MCY/1041651 ")</f>
        <v xml:space="preserve">http://slimages.macys.com/is/image/MCY/1041651 </v>
      </c>
    </row>
    <row r="128" spans="1:20" ht="15" customHeight="1" x14ac:dyDescent="0.25">
      <c r="A128" s="4" t="s">
        <v>2489</v>
      </c>
      <c r="B128" s="2" t="s">
        <v>2487</v>
      </c>
      <c r="C128" s="2" t="s">
        <v>2488</v>
      </c>
      <c r="D128" s="5" t="s">
        <v>2490</v>
      </c>
      <c r="E128" s="4" t="s">
        <v>2491</v>
      </c>
      <c r="F128" s="6">
        <v>14221323</v>
      </c>
      <c r="G128" s="3">
        <v>14221323</v>
      </c>
      <c r="H128" s="7">
        <v>733003706098</v>
      </c>
      <c r="I128" s="8" t="s">
        <v>12</v>
      </c>
      <c r="J128" s="4">
        <v>2</v>
      </c>
      <c r="K128" s="9">
        <v>22.99</v>
      </c>
      <c r="L128" s="9">
        <v>45.98</v>
      </c>
      <c r="M128" s="4" t="s">
        <v>760</v>
      </c>
      <c r="N128" s="4" t="s">
        <v>2497</v>
      </c>
      <c r="O128" s="4">
        <v>5</v>
      </c>
      <c r="P128" s="4" t="s">
        <v>2602</v>
      </c>
      <c r="Q128" s="4" t="s">
        <v>2528</v>
      </c>
      <c r="R128" s="4"/>
      <c r="S128" s="4"/>
      <c r="T128" s="4" t="str">
        <f>HYPERLINK("http://slimages.macys.com/is/image/MCY/19632121 ")</f>
        <v xml:space="preserve">http://slimages.macys.com/is/image/MCY/19632121 </v>
      </c>
    </row>
    <row r="129" spans="1:20" ht="15" customHeight="1" x14ac:dyDescent="0.25">
      <c r="A129" s="4" t="s">
        <v>2489</v>
      </c>
      <c r="B129" s="2" t="s">
        <v>2487</v>
      </c>
      <c r="C129" s="2" t="s">
        <v>2488</v>
      </c>
      <c r="D129" s="5" t="s">
        <v>2490</v>
      </c>
      <c r="E129" s="4" t="s">
        <v>2491</v>
      </c>
      <c r="F129" s="6">
        <v>14221323</v>
      </c>
      <c r="G129" s="3">
        <v>14221323</v>
      </c>
      <c r="H129" s="7">
        <v>733004723094</v>
      </c>
      <c r="I129" s="8" t="s">
        <v>3229</v>
      </c>
      <c r="J129" s="4">
        <v>1</v>
      </c>
      <c r="K129" s="9">
        <v>25.99</v>
      </c>
      <c r="L129" s="9">
        <v>25.99</v>
      </c>
      <c r="M129" s="4" t="s">
        <v>3178</v>
      </c>
      <c r="N129" s="4" t="s">
        <v>2518</v>
      </c>
      <c r="O129" s="4" t="s">
        <v>2566</v>
      </c>
      <c r="P129" s="4" t="s">
        <v>2503</v>
      </c>
      <c r="Q129" s="4" t="s">
        <v>2504</v>
      </c>
      <c r="R129" s="4"/>
      <c r="S129" s="4"/>
      <c r="T129" s="4" t="str">
        <f>HYPERLINK("http://slimages.macys.com/is/image/MCY/1041651 ")</f>
        <v xml:space="preserve">http://slimages.macys.com/is/image/MCY/1041651 </v>
      </c>
    </row>
    <row r="130" spans="1:20" ht="15" customHeight="1" x14ac:dyDescent="0.25">
      <c r="A130" s="4" t="s">
        <v>2489</v>
      </c>
      <c r="B130" s="2" t="s">
        <v>2487</v>
      </c>
      <c r="C130" s="2" t="s">
        <v>2488</v>
      </c>
      <c r="D130" s="5" t="s">
        <v>2490</v>
      </c>
      <c r="E130" s="4" t="s">
        <v>2491</v>
      </c>
      <c r="F130" s="6">
        <v>14221323</v>
      </c>
      <c r="G130" s="3">
        <v>14221323</v>
      </c>
      <c r="H130" s="7">
        <v>733003706012</v>
      </c>
      <c r="I130" s="8" t="s">
        <v>13</v>
      </c>
      <c r="J130" s="4">
        <v>1</v>
      </c>
      <c r="K130" s="9">
        <v>22.99</v>
      </c>
      <c r="L130" s="9">
        <v>22.99</v>
      </c>
      <c r="M130" s="4" t="s">
        <v>1623</v>
      </c>
      <c r="N130" s="4" t="s">
        <v>2523</v>
      </c>
      <c r="O130" s="4" t="s">
        <v>2628</v>
      </c>
      <c r="P130" s="4" t="s">
        <v>2602</v>
      </c>
      <c r="Q130" s="4" t="s">
        <v>2528</v>
      </c>
      <c r="R130" s="4"/>
      <c r="S130" s="4"/>
      <c r="T130" s="4" t="str">
        <f>HYPERLINK("http://slimages.macys.com/is/image/MCY/19632125 ")</f>
        <v xml:space="preserve">http://slimages.macys.com/is/image/MCY/19632125 </v>
      </c>
    </row>
    <row r="131" spans="1:20" ht="15" customHeight="1" x14ac:dyDescent="0.25">
      <c r="A131" s="4" t="s">
        <v>2489</v>
      </c>
      <c r="B131" s="2" t="s">
        <v>2487</v>
      </c>
      <c r="C131" s="2" t="s">
        <v>2488</v>
      </c>
      <c r="D131" s="5" t="s">
        <v>2490</v>
      </c>
      <c r="E131" s="4" t="s">
        <v>2491</v>
      </c>
      <c r="F131" s="6">
        <v>14221323</v>
      </c>
      <c r="G131" s="3">
        <v>14221323</v>
      </c>
      <c r="H131" s="7">
        <v>194654554566</v>
      </c>
      <c r="I131" s="8" t="s">
        <v>767</v>
      </c>
      <c r="J131" s="4">
        <v>1</v>
      </c>
      <c r="K131" s="9">
        <v>38</v>
      </c>
      <c r="L131" s="9">
        <v>38</v>
      </c>
      <c r="M131" s="4" t="s">
        <v>768</v>
      </c>
      <c r="N131" s="4" t="s">
        <v>2596</v>
      </c>
      <c r="O131" s="4">
        <v>10</v>
      </c>
      <c r="P131" s="4" t="s">
        <v>2510</v>
      </c>
      <c r="Q131" s="4" t="s">
        <v>2549</v>
      </c>
      <c r="R131" s="4"/>
      <c r="S131" s="4"/>
      <c r="T131" s="4"/>
    </row>
    <row r="132" spans="1:20" ht="15" customHeight="1" x14ac:dyDescent="0.25">
      <c r="A132" s="4" t="s">
        <v>2489</v>
      </c>
      <c r="B132" s="2" t="s">
        <v>2487</v>
      </c>
      <c r="C132" s="2" t="s">
        <v>2488</v>
      </c>
      <c r="D132" s="5" t="s">
        <v>2490</v>
      </c>
      <c r="E132" s="4" t="s">
        <v>2491</v>
      </c>
      <c r="F132" s="6">
        <v>14221323</v>
      </c>
      <c r="G132" s="3">
        <v>14221323</v>
      </c>
      <c r="H132" s="7">
        <v>733004591884</v>
      </c>
      <c r="I132" s="8" t="s">
        <v>1549</v>
      </c>
      <c r="J132" s="4">
        <v>1</v>
      </c>
      <c r="K132" s="9">
        <v>14.99</v>
      </c>
      <c r="L132" s="9">
        <v>14.99</v>
      </c>
      <c r="M132" s="4">
        <v>10013151100</v>
      </c>
      <c r="N132" s="4" t="s">
        <v>2505</v>
      </c>
      <c r="O132" s="4" t="s">
        <v>2607</v>
      </c>
      <c r="P132" s="4" t="s">
        <v>2503</v>
      </c>
      <c r="Q132" s="4" t="s">
        <v>2504</v>
      </c>
      <c r="R132" s="4"/>
      <c r="S132" s="4"/>
      <c r="T132" s="4" t="str">
        <f>HYPERLINK("http://slimages.macys.com/is/image/MCY/19755878 ")</f>
        <v xml:space="preserve">http://slimages.macys.com/is/image/MCY/19755878 </v>
      </c>
    </row>
    <row r="133" spans="1:20" ht="15" customHeight="1" x14ac:dyDescent="0.25">
      <c r="A133" s="4" t="s">
        <v>2489</v>
      </c>
      <c r="B133" s="2" t="s">
        <v>2487</v>
      </c>
      <c r="C133" s="2" t="s">
        <v>2488</v>
      </c>
      <c r="D133" s="5" t="s">
        <v>2490</v>
      </c>
      <c r="E133" s="4" t="s">
        <v>2491</v>
      </c>
      <c r="F133" s="6">
        <v>14221323</v>
      </c>
      <c r="G133" s="3">
        <v>14221323</v>
      </c>
      <c r="H133" s="7">
        <v>194133547676</v>
      </c>
      <c r="I133" s="8" t="s">
        <v>1424</v>
      </c>
      <c r="J133" s="4">
        <v>1</v>
      </c>
      <c r="K133" s="9">
        <v>17.29</v>
      </c>
      <c r="L133" s="9">
        <v>17.29</v>
      </c>
      <c r="M133" s="4" t="s">
        <v>1790</v>
      </c>
      <c r="N133" s="4"/>
      <c r="O133" s="4" t="s">
        <v>2607</v>
      </c>
      <c r="P133" s="4" t="s">
        <v>2494</v>
      </c>
      <c r="Q133" s="4" t="s">
        <v>2495</v>
      </c>
      <c r="R133" s="4"/>
      <c r="S133" s="4"/>
      <c r="T133" s="4" t="str">
        <f>HYPERLINK("http://slimages.macys.com/is/image/MCY/19917111 ")</f>
        <v xml:space="preserve">http://slimages.macys.com/is/image/MCY/19917111 </v>
      </c>
    </row>
    <row r="134" spans="1:20" ht="15" customHeight="1" x14ac:dyDescent="0.25">
      <c r="A134" s="4" t="s">
        <v>2489</v>
      </c>
      <c r="B134" s="2" t="s">
        <v>2487</v>
      </c>
      <c r="C134" s="2" t="s">
        <v>2488</v>
      </c>
      <c r="D134" s="5" t="s">
        <v>2490</v>
      </c>
      <c r="E134" s="4" t="s">
        <v>2491</v>
      </c>
      <c r="F134" s="6">
        <v>14221323</v>
      </c>
      <c r="G134" s="3">
        <v>14221323</v>
      </c>
      <c r="H134" s="7">
        <v>80538129176</v>
      </c>
      <c r="I134" s="8" t="s">
        <v>2862</v>
      </c>
      <c r="J134" s="4">
        <v>1</v>
      </c>
      <c r="K134" s="9">
        <v>11.99</v>
      </c>
      <c r="L134" s="9">
        <v>11.99</v>
      </c>
      <c r="M134" s="4">
        <v>64828</v>
      </c>
      <c r="N134" s="4" t="s">
        <v>2501</v>
      </c>
      <c r="O134" s="4"/>
      <c r="P134" s="4" t="s">
        <v>2666</v>
      </c>
      <c r="Q134" s="4" t="s">
        <v>2778</v>
      </c>
      <c r="R134" s="4"/>
      <c r="S134" s="4"/>
      <c r="T134" s="4" t="str">
        <f>HYPERLINK("http://slimages.macys.com/is/image/MCY/19598496 ")</f>
        <v xml:space="preserve">http://slimages.macys.com/is/image/MCY/19598496 </v>
      </c>
    </row>
    <row r="135" spans="1:20" ht="15" customHeight="1" x14ac:dyDescent="0.25">
      <c r="A135" s="4" t="s">
        <v>2489</v>
      </c>
      <c r="B135" s="2" t="s">
        <v>2487</v>
      </c>
      <c r="C135" s="2" t="s">
        <v>2488</v>
      </c>
      <c r="D135" s="5" t="s">
        <v>2490</v>
      </c>
      <c r="E135" s="4" t="s">
        <v>2491</v>
      </c>
      <c r="F135" s="6">
        <v>14221323</v>
      </c>
      <c r="G135" s="3">
        <v>14221323</v>
      </c>
      <c r="H135" s="7">
        <v>81715949778</v>
      </c>
      <c r="I135" s="8" t="s">
        <v>14</v>
      </c>
      <c r="J135" s="4">
        <v>1</v>
      </c>
      <c r="K135" s="9">
        <v>12.99</v>
      </c>
      <c r="L135" s="9">
        <v>12.99</v>
      </c>
      <c r="M135" s="4" t="s">
        <v>15</v>
      </c>
      <c r="N135" s="4" t="s">
        <v>2523</v>
      </c>
      <c r="O135" s="4" t="s">
        <v>2538</v>
      </c>
      <c r="P135" s="4" t="s">
        <v>2539</v>
      </c>
      <c r="Q135" s="4" t="s">
        <v>2540</v>
      </c>
      <c r="R135" s="4"/>
      <c r="S135" s="4"/>
      <c r="T135" s="4" t="str">
        <f>HYPERLINK("http://slimages.macys.com/is/image/MCY/20478229 ")</f>
        <v xml:space="preserve">http://slimages.macys.com/is/image/MCY/20478229 </v>
      </c>
    </row>
    <row r="136" spans="1:20" ht="15" customHeight="1" x14ac:dyDescent="0.25">
      <c r="A136" s="4" t="s">
        <v>2489</v>
      </c>
      <c r="B136" s="2" t="s">
        <v>2487</v>
      </c>
      <c r="C136" s="2" t="s">
        <v>2488</v>
      </c>
      <c r="D136" s="5" t="s">
        <v>2490</v>
      </c>
      <c r="E136" s="4" t="s">
        <v>2491</v>
      </c>
      <c r="F136" s="6">
        <v>14221323</v>
      </c>
      <c r="G136" s="3">
        <v>14221323</v>
      </c>
      <c r="H136" s="7">
        <v>733002486892</v>
      </c>
      <c r="I136" s="8" t="s">
        <v>16</v>
      </c>
      <c r="J136" s="4">
        <v>1</v>
      </c>
      <c r="K136" s="9">
        <v>10.99</v>
      </c>
      <c r="L136" s="9">
        <v>10.99</v>
      </c>
      <c r="M136" s="4">
        <v>10011697400</v>
      </c>
      <c r="N136" s="4" t="s">
        <v>2501</v>
      </c>
      <c r="O136" s="4" t="s">
        <v>2493</v>
      </c>
      <c r="P136" s="4" t="s">
        <v>2503</v>
      </c>
      <c r="Q136" s="4" t="s">
        <v>2504</v>
      </c>
      <c r="R136" s="4"/>
      <c r="S136" s="4"/>
      <c r="T136" s="4" t="str">
        <f>HYPERLINK("http://slimages.macys.com/is/image/MCY/18755787 ")</f>
        <v xml:space="preserve">http://slimages.macys.com/is/image/MCY/18755787 </v>
      </c>
    </row>
    <row r="137" spans="1:20" ht="15" customHeight="1" x14ac:dyDescent="0.25">
      <c r="A137" s="4" t="s">
        <v>2489</v>
      </c>
      <c r="B137" s="2" t="s">
        <v>2487</v>
      </c>
      <c r="C137" s="2" t="s">
        <v>2488</v>
      </c>
      <c r="D137" s="5" t="s">
        <v>2490</v>
      </c>
      <c r="E137" s="4" t="s">
        <v>2491</v>
      </c>
      <c r="F137" s="6">
        <v>14221323</v>
      </c>
      <c r="G137" s="3">
        <v>14221323</v>
      </c>
      <c r="H137" s="7">
        <v>194135495937</v>
      </c>
      <c r="I137" s="8" t="s">
        <v>1538</v>
      </c>
      <c r="J137" s="4">
        <v>1</v>
      </c>
      <c r="K137" s="9">
        <v>11.1</v>
      </c>
      <c r="L137" s="9">
        <v>11.1</v>
      </c>
      <c r="M137" s="4" t="s">
        <v>3342</v>
      </c>
      <c r="N137" s="4"/>
      <c r="O137" s="4"/>
      <c r="P137" s="4" t="s">
        <v>2657</v>
      </c>
      <c r="Q137" s="4" t="s">
        <v>2658</v>
      </c>
      <c r="R137" s="4"/>
      <c r="S137" s="4"/>
      <c r="T137" s="4" t="str">
        <f>HYPERLINK("http://slimages.macys.com/is/image/MCY/19858749 ")</f>
        <v xml:space="preserve">http://slimages.macys.com/is/image/MCY/19858749 </v>
      </c>
    </row>
    <row r="138" spans="1:20" ht="15" customHeight="1" x14ac:dyDescent="0.25">
      <c r="A138" s="4" t="s">
        <v>2489</v>
      </c>
      <c r="B138" s="2" t="s">
        <v>2487</v>
      </c>
      <c r="C138" s="2" t="s">
        <v>2488</v>
      </c>
      <c r="D138" s="5" t="s">
        <v>2490</v>
      </c>
      <c r="E138" s="4" t="s">
        <v>2491</v>
      </c>
      <c r="F138" s="6">
        <v>14221323</v>
      </c>
      <c r="G138" s="3">
        <v>14221323</v>
      </c>
      <c r="H138" s="7">
        <v>640013994028</v>
      </c>
      <c r="I138" s="8" t="s">
        <v>3067</v>
      </c>
      <c r="J138" s="4">
        <v>1</v>
      </c>
      <c r="K138" s="9">
        <v>19</v>
      </c>
      <c r="L138" s="9">
        <v>19</v>
      </c>
      <c r="M138" s="4" t="s">
        <v>3014</v>
      </c>
      <c r="N138" s="4" t="s">
        <v>2638</v>
      </c>
      <c r="O138" s="4" t="s">
        <v>2555</v>
      </c>
      <c r="P138" s="4" t="s">
        <v>2556</v>
      </c>
      <c r="Q138" s="4" t="s">
        <v>2557</v>
      </c>
      <c r="R138" s="4"/>
      <c r="S138" s="4"/>
      <c r="T138" s="4" t="str">
        <f>HYPERLINK("http://slimages.macys.com/is/image/MCY/20443066 ")</f>
        <v xml:space="preserve">http://slimages.macys.com/is/image/MCY/20443066 </v>
      </c>
    </row>
    <row r="139" spans="1:20" ht="15" customHeight="1" x14ac:dyDescent="0.25">
      <c r="A139" s="4" t="s">
        <v>2489</v>
      </c>
      <c r="B139" s="2" t="s">
        <v>2487</v>
      </c>
      <c r="C139" s="2" t="s">
        <v>2488</v>
      </c>
      <c r="D139" s="5" t="s">
        <v>2490</v>
      </c>
      <c r="E139" s="4" t="s">
        <v>2491</v>
      </c>
      <c r="F139" s="6">
        <v>14221323</v>
      </c>
      <c r="G139" s="3">
        <v>14221323</v>
      </c>
      <c r="H139" s="7">
        <v>733004729614</v>
      </c>
      <c r="I139" s="8" t="s">
        <v>756</v>
      </c>
      <c r="J139" s="4">
        <v>1</v>
      </c>
      <c r="K139" s="9">
        <v>23.99</v>
      </c>
      <c r="L139" s="9">
        <v>23.99</v>
      </c>
      <c r="M139" s="4" t="s">
        <v>2085</v>
      </c>
      <c r="N139" s="4" t="s">
        <v>2497</v>
      </c>
      <c r="O139" s="4" t="s">
        <v>2519</v>
      </c>
      <c r="P139" s="4" t="s">
        <v>2520</v>
      </c>
      <c r="Q139" s="4" t="s">
        <v>2521</v>
      </c>
      <c r="R139" s="4"/>
      <c r="S139" s="4"/>
      <c r="T139" s="4" t="str">
        <f>HYPERLINK("http://slimages.macys.com/is/image/MCY/20433729 ")</f>
        <v xml:space="preserve">http://slimages.macys.com/is/image/MCY/20433729 </v>
      </c>
    </row>
    <row r="140" spans="1:20" ht="15" customHeight="1" x14ac:dyDescent="0.25">
      <c r="A140" s="4" t="s">
        <v>2489</v>
      </c>
      <c r="B140" s="2" t="s">
        <v>2487</v>
      </c>
      <c r="C140" s="2" t="s">
        <v>2488</v>
      </c>
      <c r="D140" s="5" t="s">
        <v>2490</v>
      </c>
      <c r="E140" s="4" t="s">
        <v>2491</v>
      </c>
      <c r="F140" s="6">
        <v>14221323</v>
      </c>
      <c r="G140" s="3">
        <v>14221323</v>
      </c>
      <c r="H140" s="7">
        <v>733004086007</v>
      </c>
      <c r="I140" s="8" t="s">
        <v>1562</v>
      </c>
      <c r="J140" s="4">
        <v>1</v>
      </c>
      <c r="K140" s="9">
        <v>21.99</v>
      </c>
      <c r="L140" s="9">
        <v>21.99</v>
      </c>
      <c r="M140" s="4" t="s">
        <v>2004</v>
      </c>
      <c r="N140" s="4"/>
      <c r="O140" s="4" t="s">
        <v>2555</v>
      </c>
      <c r="P140" s="4" t="s">
        <v>2543</v>
      </c>
      <c r="Q140" s="4" t="s">
        <v>2528</v>
      </c>
      <c r="R140" s="4"/>
      <c r="S140" s="4"/>
      <c r="T140" s="4" t="str">
        <f>HYPERLINK("http://slimages.macys.com/is/image/MCY/19988445 ")</f>
        <v xml:space="preserve">http://slimages.macys.com/is/image/MCY/19988445 </v>
      </c>
    </row>
    <row r="141" spans="1:20" ht="15" customHeight="1" x14ac:dyDescent="0.25">
      <c r="A141" s="4" t="s">
        <v>2489</v>
      </c>
      <c r="B141" s="2" t="s">
        <v>2487</v>
      </c>
      <c r="C141" s="2" t="s">
        <v>2488</v>
      </c>
      <c r="D141" s="5" t="s">
        <v>2490</v>
      </c>
      <c r="E141" s="4" t="s">
        <v>2491</v>
      </c>
      <c r="F141" s="6">
        <v>14221323</v>
      </c>
      <c r="G141" s="3">
        <v>14221323</v>
      </c>
      <c r="H141" s="7">
        <v>733003805005</v>
      </c>
      <c r="I141" s="8" t="s">
        <v>1847</v>
      </c>
      <c r="J141" s="4">
        <v>1</v>
      </c>
      <c r="K141" s="9">
        <v>5.99</v>
      </c>
      <c r="L141" s="9">
        <v>5.99</v>
      </c>
      <c r="M141" s="4" t="s">
        <v>3232</v>
      </c>
      <c r="N141" s="4" t="s">
        <v>2682</v>
      </c>
      <c r="O141" s="4">
        <v>7</v>
      </c>
      <c r="P141" s="4" t="s">
        <v>2520</v>
      </c>
      <c r="Q141" s="4" t="s">
        <v>2528</v>
      </c>
      <c r="R141" s="4"/>
      <c r="S141" s="4"/>
      <c r="T141" s="4" t="str">
        <f>HYPERLINK("http://slimages.macys.com/is/image/MCY/19239511 ")</f>
        <v xml:space="preserve">http://slimages.macys.com/is/image/MCY/19239511 </v>
      </c>
    </row>
    <row r="142" spans="1:20" ht="15" customHeight="1" x14ac:dyDescent="0.25">
      <c r="A142" s="4" t="s">
        <v>2489</v>
      </c>
      <c r="B142" s="2" t="s">
        <v>2487</v>
      </c>
      <c r="C142" s="2" t="s">
        <v>2488</v>
      </c>
      <c r="D142" s="5" t="s">
        <v>2490</v>
      </c>
      <c r="E142" s="4" t="s">
        <v>2491</v>
      </c>
      <c r="F142" s="6">
        <v>14221323</v>
      </c>
      <c r="G142" s="3">
        <v>14221323</v>
      </c>
      <c r="H142" s="7">
        <v>194257518750</v>
      </c>
      <c r="I142" s="8" t="s">
        <v>3380</v>
      </c>
      <c r="J142" s="4">
        <v>1</v>
      </c>
      <c r="K142" s="9">
        <v>8.25</v>
      </c>
      <c r="L142" s="9">
        <v>8.25</v>
      </c>
      <c r="M142" s="4" t="s">
        <v>3274</v>
      </c>
      <c r="N142" s="4" t="s">
        <v>2514</v>
      </c>
      <c r="O142" s="4">
        <v>5</v>
      </c>
      <c r="P142" s="4" t="s">
        <v>2619</v>
      </c>
      <c r="Q142" s="4" t="s">
        <v>2654</v>
      </c>
      <c r="R142" s="4"/>
      <c r="S142" s="4"/>
      <c r="T142" s="4" t="str">
        <f>HYPERLINK("http://slimages.macys.com/is/image/MCY/20099679 ")</f>
        <v xml:space="preserve">http://slimages.macys.com/is/image/MCY/20099679 </v>
      </c>
    </row>
    <row r="143" spans="1:20" ht="15" customHeight="1" x14ac:dyDescent="0.25">
      <c r="A143" s="4" t="s">
        <v>2489</v>
      </c>
      <c r="B143" s="2" t="s">
        <v>2487</v>
      </c>
      <c r="C143" s="2" t="s">
        <v>2488</v>
      </c>
      <c r="D143" s="5" t="s">
        <v>2490</v>
      </c>
      <c r="E143" s="4" t="s">
        <v>2491</v>
      </c>
      <c r="F143" s="6">
        <v>14221323</v>
      </c>
      <c r="G143" s="3">
        <v>14221323</v>
      </c>
      <c r="H143" s="7">
        <v>194133536236</v>
      </c>
      <c r="I143" s="8" t="s">
        <v>17</v>
      </c>
      <c r="J143" s="4">
        <v>1</v>
      </c>
      <c r="K143" s="9">
        <v>25.07</v>
      </c>
      <c r="L143" s="9">
        <v>25.07</v>
      </c>
      <c r="M143" s="4" t="s">
        <v>1605</v>
      </c>
      <c r="N143" s="4"/>
      <c r="O143" s="4" t="s">
        <v>2559</v>
      </c>
      <c r="P143" s="4" t="s">
        <v>2494</v>
      </c>
      <c r="Q143" s="4" t="s">
        <v>2560</v>
      </c>
      <c r="R143" s="4"/>
      <c r="S143" s="4"/>
      <c r="T143" s="4" t="str">
        <f>HYPERLINK("http://slimages.macys.com/is/image/MCY/19847759 ")</f>
        <v xml:space="preserve">http://slimages.macys.com/is/image/MCY/19847759 </v>
      </c>
    </row>
    <row r="144" spans="1:20" ht="15" customHeight="1" x14ac:dyDescent="0.25">
      <c r="A144" s="4" t="s">
        <v>2489</v>
      </c>
      <c r="B144" s="2" t="s">
        <v>2487</v>
      </c>
      <c r="C144" s="2" t="s">
        <v>2488</v>
      </c>
      <c r="D144" s="5" t="s">
        <v>2490</v>
      </c>
      <c r="E144" s="4" t="s">
        <v>2491</v>
      </c>
      <c r="F144" s="6">
        <v>14221323</v>
      </c>
      <c r="G144" s="3">
        <v>14221323</v>
      </c>
      <c r="H144" s="7">
        <v>195958061163</v>
      </c>
      <c r="I144" s="8" t="s">
        <v>2969</v>
      </c>
      <c r="J144" s="4">
        <v>1</v>
      </c>
      <c r="K144" s="9">
        <v>23.99</v>
      </c>
      <c r="L144" s="9">
        <v>23.99</v>
      </c>
      <c r="M144" s="4" t="s">
        <v>2856</v>
      </c>
      <c r="N144" s="4" t="s">
        <v>2544</v>
      </c>
      <c r="O144" s="4" t="s">
        <v>2559</v>
      </c>
      <c r="P144" s="4" t="s">
        <v>2740</v>
      </c>
      <c r="Q144" s="4" t="s">
        <v>2656</v>
      </c>
      <c r="R144" s="4"/>
      <c r="S144" s="4"/>
      <c r="T144" s="4" t="str">
        <f>HYPERLINK("http://slimages.macys.com/is/image/MCY/20388552 ")</f>
        <v xml:space="preserve">http://slimages.macys.com/is/image/MCY/20388552 </v>
      </c>
    </row>
    <row r="145" spans="1:20" ht="15" customHeight="1" x14ac:dyDescent="0.25">
      <c r="A145" s="4" t="s">
        <v>2489</v>
      </c>
      <c r="B145" s="2" t="s">
        <v>2487</v>
      </c>
      <c r="C145" s="2" t="s">
        <v>2488</v>
      </c>
      <c r="D145" s="5" t="s">
        <v>2490</v>
      </c>
      <c r="E145" s="4" t="s">
        <v>2491</v>
      </c>
      <c r="F145" s="6">
        <v>14221323</v>
      </c>
      <c r="G145" s="3">
        <v>14221323</v>
      </c>
      <c r="H145" s="7">
        <v>733004722691</v>
      </c>
      <c r="I145" s="8" t="s">
        <v>1365</v>
      </c>
      <c r="J145" s="4">
        <v>2</v>
      </c>
      <c r="K145" s="9">
        <v>25.99</v>
      </c>
      <c r="L145" s="9">
        <v>51.98</v>
      </c>
      <c r="M145" s="4" t="s">
        <v>3193</v>
      </c>
      <c r="N145" s="4" t="s">
        <v>2530</v>
      </c>
      <c r="O145" s="4" t="s">
        <v>2559</v>
      </c>
      <c r="P145" s="4" t="s">
        <v>2503</v>
      </c>
      <c r="Q145" s="4" t="s">
        <v>2504</v>
      </c>
      <c r="R145" s="4"/>
      <c r="S145" s="4"/>
      <c r="T145" s="4" t="str">
        <f>HYPERLINK("http://slimages.macys.com/is/image/MCY/19977902 ")</f>
        <v xml:space="preserve">http://slimages.macys.com/is/image/MCY/19977902 </v>
      </c>
    </row>
    <row r="146" spans="1:20" ht="15" customHeight="1" x14ac:dyDescent="0.25">
      <c r="A146" s="4" t="s">
        <v>2489</v>
      </c>
      <c r="B146" s="2" t="s">
        <v>2487</v>
      </c>
      <c r="C146" s="2" t="s">
        <v>2488</v>
      </c>
      <c r="D146" s="5" t="s">
        <v>2490</v>
      </c>
      <c r="E146" s="4" t="s">
        <v>2491</v>
      </c>
      <c r="F146" s="6">
        <v>14221323</v>
      </c>
      <c r="G146" s="3">
        <v>14221323</v>
      </c>
      <c r="H146" s="7">
        <v>194135102583</v>
      </c>
      <c r="I146" s="8" t="s">
        <v>18</v>
      </c>
      <c r="J146" s="4">
        <v>1</v>
      </c>
      <c r="K146" s="9">
        <v>13.77</v>
      </c>
      <c r="L146" s="9">
        <v>13.77</v>
      </c>
      <c r="M146" s="4" t="s">
        <v>19</v>
      </c>
      <c r="N146" s="4" t="s">
        <v>2514</v>
      </c>
      <c r="O146" s="4" t="s">
        <v>2746</v>
      </c>
      <c r="P146" s="4" t="s">
        <v>2494</v>
      </c>
      <c r="Q146" s="4" t="s">
        <v>2495</v>
      </c>
      <c r="R146" s="4"/>
      <c r="S146" s="4"/>
      <c r="T146" s="4" t="str">
        <f>HYPERLINK("http://slimages.macys.com/is/image/MCY/18846972 ")</f>
        <v xml:space="preserve">http://slimages.macys.com/is/image/MCY/18846972 </v>
      </c>
    </row>
    <row r="147" spans="1:20" ht="15" customHeight="1" x14ac:dyDescent="0.25">
      <c r="A147" s="4" t="s">
        <v>2489</v>
      </c>
      <c r="B147" s="2" t="s">
        <v>2487</v>
      </c>
      <c r="C147" s="2" t="s">
        <v>2488</v>
      </c>
      <c r="D147" s="5" t="s">
        <v>2490</v>
      </c>
      <c r="E147" s="4" t="s">
        <v>2491</v>
      </c>
      <c r="F147" s="6">
        <v>14221323</v>
      </c>
      <c r="G147" s="3">
        <v>14221323</v>
      </c>
      <c r="H147" s="7">
        <v>733002220397</v>
      </c>
      <c r="I147" s="8" t="s">
        <v>20</v>
      </c>
      <c r="J147" s="4">
        <v>1</v>
      </c>
      <c r="K147" s="9">
        <v>6.99</v>
      </c>
      <c r="L147" s="9">
        <v>6.99</v>
      </c>
      <c r="M147" s="4" t="s">
        <v>21</v>
      </c>
      <c r="N147" s="4" t="s">
        <v>2501</v>
      </c>
      <c r="O147" s="4" t="s">
        <v>2519</v>
      </c>
      <c r="P147" s="4" t="s">
        <v>2543</v>
      </c>
      <c r="Q147" s="4" t="s">
        <v>2528</v>
      </c>
      <c r="R147" s="4"/>
      <c r="S147" s="4"/>
      <c r="T147" s="4" t="str">
        <f>HYPERLINK("http://slimages.macys.com/is/image/MCY/19266888 ")</f>
        <v xml:space="preserve">http://slimages.macys.com/is/image/MCY/19266888 </v>
      </c>
    </row>
    <row r="148" spans="1:20" ht="15" customHeight="1" x14ac:dyDescent="0.25">
      <c r="A148" s="4" t="s">
        <v>2489</v>
      </c>
      <c r="B148" s="2" t="s">
        <v>2487</v>
      </c>
      <c r="C148" s="2" t="s">
        <v>2488</v>
      </c>
      <c r="D148" s="5" t="s">
        <v>2490</v>
      </c>
      <c r="E148" s="4" t="s">
        <v>2491</v>
      </c>
      <c r="F148" s="6">
        <v>14221323</v>
      </c>
      <c r="G148" s="3">
        <v>14221323</v>
      </c>
      <c r="H148" s="7">
        <v>732999992249</v>
      </c>
      <c r="I148" s="8" t="s">
        <v>22</v>
      </c>
      <c r="J148" s="4">
        <v>1</v>
      </c>
      <c r="K148" s="9">
        <v>6.99</v>
      </c>
      <c r="L148" s="9">
        <v>6.99</v>
      </c>
      <c r="M148" s="4" t="s">
        <v>2892</v>
      </c>
      <c r="N148" s="4" t="s">
        <v>2497</v>
      </c>
      <c r="O148" s="4" t="s">
        <v>2671</v>
      </c>
      <c r="P148" s="4" t="s">
        <v>2543</v>
      </c>
      <c r="Q148" s="4" t="s">
        <v>2528</v>
      </c>
      <c r="R148" s="4"/>
      <c r="S148" s="4"/>
      <c r="T148" s="4" t="str">
        <f>HYPERLINK("http://slimages.macys.com/is/image/MCY/17688402 ")</f>
        <v xml:space="preserve">http://slimages.macys.com/is/image/MCY/17688402 </v>
      </c>
    </row>
    <row r="149" spans="1:20" ht="15" customHeight="1" x14ac:dyDescent="0.25">
      <c r="A149" s="4" t="s">
        <v>2489</v>
      </c>
      <c r="B149" s="2" t="s">
        <v>2487</v>
      </c>
      <c r="C149" s="2" t="s">
        <v>2488</v>
      </c>
      <c r="D149" s="5" t="s">
        <v>2490</v>
      </c>
      <c r="E149" s="4" t="s">
        <v>2491</v>
      </c>
      <c r="F149" s="6">
        <v>14221323</v>
      </c>
      <c r="G149" s="3">
        <v>14221323</v>
      </c>
      <c r="H149" s="7">
        <v>46094635322</v>
      </c>
      <c r="I149" s="8" t="s">
        <v>23</v>
      </c>
      <c r="J149" s="4">
        <v>1</v>
      </c>
      <c r="K149" s="9">
        <v>11.99</v>
      </c>
      <c r="L149" s="9">
        <v>11.99</v>
      </c>
      <c r="M149" s="4" t="s">
        <v>3165</v>
      </c>
      <c r="N149" s="4" t="s">
        <v>2501</v>
      </c>
      <c r="O149" s="4" t="s">
        <v>2555</v>
      </c>
      <c r="P149" s="4" t="s">
        <v>2666</v>
      </c>
      <c r="Q149" s="4" t="s">
        <v>2667</v>
      </c>
      <c r="R149" s="4" t="s">
        <v>2552</v>
      </c>
      <c r="S149" s="4" t="s">
        <v>3157</v>
      </c>
      <c r="T149" s="4" t="str">
        <f>HYPERLINK("http://slimages.macys.com/is/image/MCY/8349880 ")</f>
        <v xml:space="preserve">http://slimages.macys.com/is/image/MCY/8349880 </v>
      </c>
    </row>
    <row r="150" spans="1:20" ht="15" customHeight="1" x14ac:dyDescent="0.25">
      <c r="A150" s="4" t="s">
        <v>2489</v>
      </c>
      <c r="B150" s="2" t="s">
        <v>2487</v>
      </c>
      <c r="C150" s="2" t="s">
        <v>2488</v>
      </c>
      <c r="D150" s="5" t="s">
        <v>2490</v>
      </c>
      <c r="E150" s="4" t="s">
        <v>2491</v>
      </c>
      <c r="F150" s="6">
        <v>14221323</v>
      </c>
      <c r="G150" s="3">
        <v>14221323</v>
      </c>
      <c r="H150" s="7">
        <v>762120077866</v>
      </c>
      <c r="I150" s="8" t="s">
        <v>24</v>
      </c>
      <c r="J150" s="4">
        <v>1</v>
      </c>
      <c r="K150" s="9">
        <v>16.989999999999998</v>
      </c>
      <c r="L150" s="9">
        <v>16.989999999999998</v>
      </c>
      <c r="M150" s="4" t="s">
        <v>1780</v>
      </c>
      <c r="N150" s="4" t="s">
        <v>2523</v>
      </c>
      <c r="O150" s="4">
        <v>6</v>
      </c>
      <c r="P150" s="4" t="s">
        <v>2520</v>
      </c>
      <c r="Q150" s="4" t="s">
        <v>2528</v>
      </c>
      <c r="R150" s="4"/>
      <c r="S150" s="4"/>
      <c r="T150" s="4" t="str">
        <f>HYPERLINK("http://slimages.macys.com/is/image/MCY/20669891 ")</f>
        <v xml:space="preserve">http://slimages.macys.com/is/image/MCY/20669891 </v>
      </c>
    </row>
    <row r="151" spans="1:20" ht="15" customHeight="1" x14ac:dyDescent="0.25">
      <c r="A151" s="4" t="s">
        <v>2489</v>
      </c>
      <c r="B151" s="2" t="s">
        <v>2487</v>
      </c>
      <c r="C151" s="2" t="s">
        <v>2488</v>
      </c>
      <c r="D151" s="5" t="s">
        <v>2490</v>
      </c>
      <c r="E151" s="4" t="s">
        <v>2491</v>
      </c>
      <c r="F151" s="6">
        <v>14221323</v>
      </c>
      <c r="G151" s="3">
        <v>14221323</v>
      </c>
      <c r="H151" s="7">
        <v>194134458841</v>
      </c>
      <c r="I151" s="8" t="s">
        <v>25</v>
      </c>
      <c r="J151" s="4">
        <v>1</v>
      </c>
      <c r="K151" s="9">
        <v>26</v>
      </c>
      <c r="L151" s="9">
        <v>26</v>
      </c>
      <c r="M151" s="4" t="s">
        <v>26</v>
      </c>
      <c r="N151" s="4" t="s">
        <v>2762</v>
      </c>
      <c r="O151" s="4"/>
      <c r="P151" s="4" t="s">
        <v>2533</v>
      </c>
      <c r="Q151" s="4" t="s">
        <v>2730</v>
      </c>
      <c r="R151" s="4"/>
      <c r="S151" s="4"/>
      <c r="T151" s="4" t="str">
        <f>HYPERLINK("http://slimages.macys.com/is/image/MCY/18979211 ")</f>
        <v xml:space="preserve">http://slimages.macys.com/is/image/MCY/18979211 </v>
      </c>
    </row>
    <row r="152" spans="1:20" ht="15" customHeight="1" x14ac:dyDescent="0.25">
      <c r="A152" s="4" t="s">
        <v>2489</v>
      </c>
      <c r="B152" s="2" t="s">
        <v>2487</v>
      </c>
      <c r="C152" s="2" t="s">
        <v>2488</v>
      </c>
      <c r="D152" s="5" t="s">
        <v>2490</v>
      </c>
      <c r="E152" s="4" t="s">
        <v>2491</v>
      </c>
      <c r="F152" s="6">
        <v>14221323</v>
      </c>
      <c r="G152" s="3">
        <v>14221323</v>
      </c>
      <c r="H152" s="7">
        <v>733004780097</v>
      </c>
      <c r="I152" s="8" t="s">
        <v>3218</v>
      </c>
      <c r="J152" s="4">
        <v>1</v>
      </c>
      <c r="K152" s="9">
        <v>7.99</v>
      </c>
      <c r="L152" s="9">
        <v>7.99</v>
      </c>
      <c r="M152" s="4" t="s">
        <v>2692</v>
      </c>
      <c r="N152" s="4" t="s">
        <v>2501</v>
      </c>
      <c r="O152" s="4" t="s">
        <v>2628</v>
      </c>
      <c r="P152" s="4" t="s">
        <v>2602</v>
      </c>
      <c r="Q152" s="4" t="s">
        <v>2528</v>
      </c>
      <c r="R152" s="4"/>
      <c r="S152" s="4"/>
      <c r="T152" s="4" t="str">
        <f>HYPERLINK("http://slimages.macys.com/is/image/MCY/20450163 ")</f>
        <v xml:space="preserve">http://slimages.macys.com/is/image/MCY/20450163 </v>
      </c>
    </row>
    <row r="153" spans="1:20" ht="15" customHeight="1" x14ac:dyDescent="0.25">
      <c r="A153" s="4" t="s">
        <v>2489</v>
      </c>
      <c r="B153" s="2" t="s">
        <v>2487</v>
      </c>
      <c r="C153" s="2" t="s">
        <v>2488</v>
      </c>
      <c r="D153" s="5" t="s">
        <v>2490</v>
      </c>
      <c r="E153" s="4" t="s">
        <v>2491</v>
      </c>
      <c r="F153" s="6">
        <v>14221323</v>
      </c>
      <c r="G153" s="3">
        <v>14221323</v>
      </c>
      <c r="H153" s="7">
        <v>733004085956</v>
      </c>
      <c r="I153" s="8" t="s">
        <v>750</v>
      </c>
      <c r="J153" s="4">
        <v>1</v>
      </c>
      <c r="K153" s="9">
        <v>21.99</v>
      </c>
      <c r="L153" s="9">
        <v>21.99</v>
      </c>
      <c r="M153" s="4" t="s">
        <v>2038</v>
      </c>
      <c r="N153" s="4" t="s">
        <v>2567</v>
      </c>
      <c r="O153" s="4" t="s">
        <v>2519</v>
      </c>
      <c r="P153" s="4" t="s">
        <v>2543</v>
      </c>
      <c r="Q153" s="4" t="s">
        <v>2528</v>
      </c>
      <c r="R153" s="4"/>
      <c r="S153" s="4"/>
      <c r="T153" s="4" t="str">
        <f>HYPERLINK("http://slimages.macys.com/is/image/MCY/19965740 ")</f>
        <v xml:space="preserve">http://slimages.macys.com/is/image/MCY/19965740 </v>
      </c>
    </row>
    <row r="154" spans="1:20" ht="15" customHeight="1" x14ac:dyDescent="0.25">
      <c r="A154" s="4" t="s">
        <v>2489</v>
      </c>
      <c r="B154" s="2" t="s">
        <v>2487</v>
      </c>
      <c r="C154" s="2" t="s">
        <v>2488</v>
      </c>
      <c r="D154" s="5" t="s">
        <v>2490</v>
      </c>
      <c r="E154" s="4" t="s">
        <v>2491</v>
      </c>
      <c r="F154" s="6">
        <v>14221323</v>
      </c>
      <c r="G154" s="3">
        <v>14221323</v>
      </c>
      <c r="H154" s="7">
        <v>733004085833</v>
      </c>
      <c r="I154" s="8" t="s">
        <v>2841</v>
      </c>
      <c r="J154" s="4">
        <v>1</v>
      </c>
      <c r="K154" s="9">
        <v>21.99</v>
      </c>
      <c r="L154" s="9">
        <v>21.99</v>
      </c>
      <c r="M154" s="4" t="s">
        <v>2842</v>
      </c>
      <c r="N154" s="4" t="s">
        <v>2514</v>
      </c>
      <c r="O154" s="4" t="s">
        <v>2519</v>
      </c>
      <c r="P154" s="4" t="s">
        <v>2543</v>
      </c>
      <c r="Q154" s="4" t="s">
        <v>2528</v>
      </c>
      <c r="R154" s="4"/>
      <c r="S154" s="4"/>
      <c r="T154" s="4" t="str">
        <f>HYPERLINK("http://slimages.macys.com/is/image/MCY/19988442 ")</f>
        <v xml:space="preserve">http://slimages.macys.com/is/image/MCY/19988442 </v>
      </c>
    </row>
    <row r="155" spans="1:20" ht="15" customHeight="1" x14ac:dyDescent="0.25">
      <c r="A155" s="4" t="s">
        <v>2489</v>
      </c>
      <c r="B155" s="2" t="s">
        <v>2487</v>
      </c>
      <c r="C155" s="2" t="s">
        <v>2488</v>
      </c>
      <c r="D155" s="5" t="s">
        <v>2490</v>
      </c>
      <c r="E155" s="4" t="s">
        <v>2491</v>
      </c>
      <c r="F155" s="6">
        <v>14221323</v>
      </c>
      <c r="G155" s="3">
        <v>14221323</v>
      </c>
      <c r="H155" s="7">
        <v>733004752131</v>
      </c>
      <c r="I155" s="8" t="s">
        <v>1490</v>
      </c>
      <c r="J155" s="4">
        <v>2</v>
      </c>
      <c r="K155" s="9">
        <v>15.99</v>
      </c>
      <c r="L155" s="9">
        <v>31.98</v>
      </c>
      <c r="M155" s="4" t="s">
        <v>3238</v>
      </c>
      <c r="N155" s="4" t="s">
        <v>2514</v>
      </c>
      <c r="O155" s="4" t="s">
        <v>2519</v>
      </c>
      <c r="P155" s="4" t="s">
        <v>2543</v>
      </c>
      <c r="Q155" s="4" t="s">
        <v>2528</v>
      </c>
      <c r="R155" s="4"/>
      <c r="S155" s="4"/>
      <c r="T155" s="4" t="str">
        <f>HYPERLINK("http://slimages.macys.com/is/image/MCY/20440819 ")</f>
        <v xml:space="preserve">http://slimages.macys.com/is/image/MCY/20440819 </v>
      </c>
    </row>
    <row r="156" spans="1:20" ht="15" customHeight="1" x14ac:dyDescent="0.25">
      <c r="A156" s="4" t="s">
        <v>2489</v>
      </c>
      <c r="B156" s="2" t="s">
        <v>2487</v>
      </c>
      <c r="C156" s="2" t="s">
        <v>2488</v>
      </c>
      <c r="D156" s="5" t="s">
        <v>2490</v>
      </c>
      <c r="E156" s="4" t="s">
        <v>2491</v>
      </c>
      <c r="F156" s="6">
        <v>14221323</v>
      </c>
      <c r="G156" s="3">
        <v>14221323</v>
      </c>
      <c r="H156" s="7">
        <v>640013923592</v>
      </c>
      <c r="I156" s="8" t="s">
        <v>3299</v>
      </c>
      <c r="J156" s="4">
        <v>1</v>
      </c>
      <c r="K156" s="9">
        <v>10.56</v>
      </c>
      <c r="L156" s="9">
        <v>10.56</v>
      </c>
      <c r="M156" s="4" t="s">
        <v>3060</v>
      </c>
      <c r="N156" s="4" t="s">
        <v>2497</v>
      </c>
      <c r="O156" s="4" t="s">
        <v>2555</v>
      </c>
      <c r="P156" s="4" t="s">
        <v>2556</v>
      </c>
      <c r="Q156" s="4" t="s">
        <v>2557</v>
      </c>
      <c r="R156" s="4"/>
      <c r="S156" s="4"/>
      <c r="T156" s="4" t="str">
        <f>HYPERLINK("http://slimages.macys.com/is/image/MCY/20866503 ")</f>
        <v xml:space="preserve">http://slimages.macys.com/is/image/MCY/20866503 </v>
      </c>
    </row>
    <row r="157" spans="1:20" ht="15" customHeight="1" x14ac:dyDescent="0.25">
      <c r="A157" s="4" t="s">
        <v>2489</v>
      </c>
      <c r="B157" s="2" t="s">
        <v>2487</v>
      </c>
      <c r="C157" s="2" t="s">
        <v>2488</v>
      </c>
      <c r="D157" s="5" t="s">
        <v>2490</v>
      </c>
      <c r="E157" s="4" t="s">
        <v>2491</v>
      </c>
      <c r="F157" s="6">
        <v>14221323</v>
      </c>
      <c r="G157" s="3">
        <v>14221323</v>
      </c>
      <c r="H157" s="7">
        <v>733003705862</v>
      </c>
      <c r="I157" s="8" t="s">
        <v>27</v>
      </c>
      <c r="J157" s="4">
        <v>2</v>
      </c>
      <c r="K157" s="9">
        <v>22.99</v>
      </c>
      <c r="L157" s="9">
        <v>45.98</v>
      </c>
      <c r="M157" s="4" t="s">
        <v>1100</v>
      </c>
      <c r="N157" s="4" t="s">
        <v>2514</v>
      </c>
      <c r="O157" s="4">
        <v>6</v>
      </c>
      <c r="P157" s="4" t="s">
        <v>2602</v>
      </c>
      <c r="Q157" s="4" t="s">
        <v>2528</v>
      </c>
      <c r="R157" s="4"/>
      <c r="S157" s="4"/>
      <c r="T157" s="4" t="str">
        <f>HYPERLINK("http://slimages.macys.com/is/image/MCY/19632121 ")</f>
        <v xml:space="preserve">http://slimages.macys.com/is/image/MCY/19632121 </v>
      </c>
    </row>
    <row r="158" spans="1:20" ht="15" customHeight="1" x14ac:dyDescent="0.25">
      <c r="A158" s="4" t="s">
        <v>2489</v>
      </c>
      <c r="B158" s="2" t="s">
        <v>2487</v>
      </c>
      <c r="C158" s="2" t="s">
        <v>2488</v>
      </c>
      <c r="D158" s="5" t="s">
        <v>2490</v>
      </c>
      <c r="E158" s="4" t="s">
        <v>2491</v>
      </c>
      <c r="F158" s="6">
        <v>14221323</v>
      </c>
      <c r="G158" s="3">
        <v>14221323</v>
      </c>
      <c r="H158" s="7">
        <v>733003705954</v>
      </c>
      <c r="I158" s="8" t="s">
        <v>752</v>
      </c>
      <c r="J158" s="4">
        <v>2</v>
      </c>
      <c r="K158" s="9">
        <v>22.99</v>
      </c>
      <c r="L158" s="9">
        <v>45.98</v>
      </c>
      <c r="M158" s="4" t="s">
        <v>2850</v>
      </c>
      <c r="N158" s="4" t="s">
        <v>2514</v>
      </c>
      <c r="O158" s="4" t="s">
        <v>2628</v>
      </c>
      <c r="P158" s="4" t="s">
        <v>2602</v>
      </c>
      <c r="Q158" s="4" t="s">
        <v>2528</v>
      </c>
      <c r="R158" s="4"/>
      <c r="S158" s="4"/>
      <c r="T158" s="4" t="str">
        <f>HYPERLINK("http://slimages.macys.com/is/image/MCY/19632125 ")</f>
        <v xml:space="preserve">http://slimages.macys.com/is/image/MCY/19632125 </v>
      </c>
    </row>
    <row r="159" spans="1:20" ht="15" customHeight="1" x14ac:dyDescent="0.25">
      <c r="A159" s="4" t="s">
        <v>2489</v>
      </c>
      <c r="B159" s="2" t="s">
        <v>2487</v>
      </c>
      <c r="C159" s="2" t="s">
        <v>2488</v>
      </c>
      <c r="D159" s="5" t="s">
        <v>2490</v>
      </c>
      <c r="E159" s="4" t="s">
        <v>2491</v>
      </c>
      <c r="F159" s="6">
        <v>14221323</v>
      </c>
      <c r="G159" s="3">
        <v>14221323</v>
      </c>
      <c r="H159" s="7">
        <v>762120263306</v>
      </c>
      <c r="I159" s="8" t="s">
        <v>3386</v>
      </c>
      <c r="J159" s="4">
        <v>1</v>
      </c>
      <c r="K159" s="9">
        <v>13.99</v>
      </c>
      <c r="L159" s="9">
        <v>13.99</v>
      </c>
      <c r="M159" s="4" t="s">
        <v>3033</v>
      </c>
      <c r="N159" s="4" t="s">
        <v>2514</v>
      </c>
      <c r="O159" s="4" t="s">
        <v>2671</v>
      </c>
      <c r="P159" s="4" t="s">
        <v>2543</v>
      </c>
      <c r="Q159" s="4" t="s">
        <v>2528</v>
      </c>
      <c r="R159" s="4"/>
      <c r="S159" s="4"/>
      <c r="T159" s="4" t="str">
        <f>HYPERLINK("http://slimages.macys.com/is/image/MCY/20846556 ")</f>
        <v xml:space="preserve">http://slimages.macys.com/is/image/MCY/20846556 </v>
      </c>
    </row>
    <row r="160" spans="1:20" ht="15" customHeight="1" x14ac:dyDescent="0.25">
      <c r="A160" s="4" t="s">
        <v>2489</v>
      </c>
      <c r="B160" s="2" t="s">
        <v>2487</v>
      </c>
      <c r="C160" s="2" t="s">
        <v>2488</v>
      </c>
      <c r="D160" s="5" t="s">
        <v>2490</v>
      </c>
      <c r="E160" s="4" t="s">
        <v>2491</v>
      </c>
      <c r="F160" s="6">
        <v>14221323</v>
      </c>
      <c r="G160" s="3">
        <v>14221323</v>
      </c>
      <c r="H160" s="7">
        <v>733004295416</v>
      </c>
      <c r="I160" s="8" t="s">
        <v>1551</v>
      </c>
      <c r="J160" s="4">
        <v>1</v>
      </c>
      <c r="K160" s="9">
        <v>12.99</v>
      </c>
      <c r="L160" s="9">
        <v>12.99</v>
      </c>
      <c r="M160" s="4" t="s">
        <v>1545</v>
      </c>
      <c r="N160" s="4" t="s">
        <v>2501</v>
      </c>
      <c r="O160" s="4" t="s">
        <v>2566</v>
      </c>
      <c r="P160" s="4" t="s">
        <v>2503</v>
      </c>
      <c r="Q160" s="4" t="s">
        <v>2504</v>
      </c>
      <c r="R160" s="4"/>
      <c r="S160" s="4"/>
      <c r="T160" s="4" t="str">
        <f>HYPERLINK("http://slimages.macys.com/is/image/MCY/19754250 ")</f>
        <v xml:space="preserve">http://slimages.macys.com/is/image/MCY/19754250 </v>
      </c>
    </row>
    <row r="161" spans="1:20" ht="15" customHeight="1" x14ac:dyDescent="0.25">
      <c r="A161" s="4" t="s">
        <v>2489</v>
      </c>
      <c r="B161" s="2" t="s">
        <v>2487</v>
      </c>
      <c r="C161" s="2" t="s">
        <v>2488</v>
      </c>
      <c r="D161" s="5" t="s">
        <v>2490</v>
      </c>
      <c r="E161" s="4" t="s">
        <v>2491</v>
      </c>
      <c r="F161" s="6">
        <v>14221323</v>
      </c>
      <c r="G161" s="3">
        <v>14221323</v>
      </c>
      <c r="H161" s="7">
        <v>194257622525</v>
      </c>
      <c r="I161" s="8" t="s">
        <v>28</v>
      </c>
      <c r="J161" s="4">
        <v>1</v>
      </c>
      <c r="K161" s="9">
        <v>9.99</v>
      </c>
      <c r="L161" s="9">
        <v>9.99</v>
      </c>
      <c r="M161" s="4" t="s">
        <v>3161</v>
      </c>
      <c r="N161" s="4" t="s">
        <v>2766</v>
      </c>
      <c r="O161" s="4">
        <v>5</v>
      </c>
      <c r="P161" s="4" t="s">
        <v>2499</v>
      </c>
      <c r="Q161" s="4" t="s">
        <v>2525</v>
      </c>
      <c r="R161" s="4"/>
      <c r="S161" s="4"/>
      <c r="T161" s="4" t="str">
        <f>HYPERLINK("http://slimages.macys.com/is/image/MCY/20189633 ")</f>
        <v xml:space="preserve">http://slimages.macys.com/is/image/MCY/20189633 </v>
      </c>
    </row>
    <row r="162" spans="1:20" ht="15" customHeight="1" x14ac:dyDescent="0.25">
      <c r="A162" s="4" t="s">
        <v>2489</v>
      </c>
      <c r="B162" s="2" t="s">
        <v>2487</v>
      </c>
      <c r="C162" s="2" t="s">
        <v>2488</v>
      </c>
      <c r="D162" s="5" t="s">
        <v>2490</v>
      </c>
      <c r="E162" s="4" t="s">
        <v>2491</v>
      </c>
      <c r="F162" s="6">
        <v>14221323</v>
      </c>
      <c r="G162" s="3">
        <v>14221323</v>
      </c>
      <c r="H162" s="7">
        <v>195883923031</v>
      </c>
      <c r="I162" s="8" t="s">
        <v>1628</v>
      </c>
      <c r="J162" s="4">
        <v>1</v>
      </c>
      <c r="K162" s="9">
        <v>8.31</v>
      </c>
      <c r="L162" s="9">
        <v>8.31</v>
      </c>
      <c r="M162" s="4" t="s">
        <v>3298</v>
      </c>
      <c r="N162" s="4" t="s">
        <v>2632</v>
      </c>
      <c r="O162" s="4">
        <v>3</v>
      </c>
      <c r="P162" s="4" t="s">
        <v>2506</v>
      </c>
      <c r="Q162" s="4" t="s">
        <v>2527</v>
      </c>
      <c r="R162" s="4"/>
      <c r="S162" s="4"/>
      <c r="T162" s="4" t="str">
        <f>HYPERLINK("http://slimages.macys.com/is/image/MCY/20905069 ")</f>
        <v xml:space="preserve">http://slimages.macys.com/is/image/MCY/20905069 </v>
      </c>
    </row>
    <row r="163" spans="1:20" ht="15" customHeight="1" x14ac:dyDescent="0.25">
      <c r="A163" s="4" t="s">
        <v>2489</v>
      </c>
      <c r="B163" s="2" t="s">
        <v>2487</v>
      </c>
      <c r="C163" s="2" t="s">
        <v>2488</v>
      </c>
      <c r="D163" s="5" t="s">
        <v>2490</v>
      </c>
      <c r="E163" s="4" t="s">
        <v>2491</v>
      </c>
      <c r="F163" s="6">
        <v>14221323</v>
      </c>
      <c r="G163" s="3">
        <v>14221323</v>
      </c>
      <c r="H163" s="7">
        <v>733003705855</v>
      </c>
      <c r="I163" s="8" t="s">
        <v>29</v>
      </c>
      <c r="J163" s="4">
        <v>1</v>
      </c>
      <c r="K163" s="9">
        <v>22.99</v>
      </c>
      <c r="L163" s="9">
        <v>22.99</v>
      </c>
      <c r="M163" s="4" t="s">
        <v>1100</v>
      </c>
      <c r="N163" s="4" t="s">
        <v>2514</v>
      </c>
      <c r="O163" s="4">
        <v>5</v>
      </c>
      <c r="P163" s="4" t="s">
        <v>2602</v>
      </c>
      <c r="Q163" s="4" t="s">
        <v>2528</v>
      </c>
      <c r="R163" s="4"/>
      <c r="S163" s="4"/>
      <c r="T163" s="4" t="str">
        <f>HYPERLINK("http://slimages.macys.com/is/image/MCY/19632121 ")</f>
        <v xml:space="preserve">http://slimages.macys.com/is/image/MCY/19632121 </v>
      </c>
    </row>
    <row r="164" spans="1:20" ht="15" customHeight="1" x14ac:dyDescent="0.25">
      <c r="A164" s="4" t="s">
        <v>2489</v>
      </c>
      <c r="B164" s="2" t="s">
        <v>2487</v>
      </c>
      <c r="C164" s="2" t="s">
        <v>2488</v>
      </c>
      <c r="D164" s="5" t="s">
        <v>2490</v>
      </c>
      <c r="E164" s="4" t="s">
        <v>2491</v>
      </c>
      <c r="F164" s="6">
        <v>14221323</v>
      </c>
      <c r="G164" s="3">
        <v>14221323</v>
      </c>
      <c r="H164" s="7">
        <v>733003705985</v>
      </c>
      <c r="I164" s="8" t="s">
        <v>30</v>
      </c>
      <c r="J164" s="4">
        <v>1</v>
      </c>
      <c r="K164" s="9">
        <v>22.99</v>
      </c>
      <c r="L164" s="9">
        <v>22.99</v>
      </c>
      <c r="M164" s="4" t="s">
        <v>1623</v>
      </c>
      <c r="N164" s="4" t="s">
        <v>2523</v>
      </c>
      <c r="O164" s="4">
        <v>6</v>
      </c>
      <c r="P164" s="4" t="s">
        <v>2602</v>
      </c>
      <c r="Q164" s="4" t="s">
        <v>2528</v>
      </c>
      <c r="R164" s="4"/>
      <c r="S164" s="4"/>
      <c r="T164" s="4" t="str">
        <f>HYPERLINK("http://slimages.macys.com/is/image/MCY/19632121 ")</f>
        <v xml:space="preserve">http://slimages.macys.com/is/image/MCY/19632121 </v>
      </c>
    </row>
    <row r="165" spans="1:20" ht="15" customHeight="1" x14ac:dyDescent="0.25">
      <c r="A165" s="4" t="s">
        <v>2489</v>
      </c>
      <c r="B165" s="2" t="s">
        <v>2487</v>
      </c>
      <c r="C165" s="2" t="s">
        <v>2488</v>
      </c>
      <c r="D165" s="5" t="s">
        <v>2490</v>
      </c>
      <c r="E165" s="4" t="s">
        <v>2491</v>
      </c>
      <c r="F165" s="6">
        <v>14221323</v>
      </c>
      <c r="G165" s="3">
        <v>14221323</v>
      </c>
      <c r="H165" s="7">
        <v>885031528965</v>
      </c>
      <c r="I165" s="8" t="s">
        <v>1342</v>
      </c>
      <c r="J165" s="4">
        <v>1</v>
      </c>
      <c r="K165" s="9">
        <v>45</v>
      </c>
      <c r="L165" s="9">
        <v>45</v>
      </c>
      <c r="M165" s="4">
        <v>323858780001</v>
      </c>
      <c r="N165" s="4" t="s">
        <v>2731</v>
      </c>
      <c r="O165" s="4" t="s">
        <v>2555</v>
      </c>
      <c r="P165" s="4" t="s">
        <v>2615</v>
      </c>
      <c r="Q165" s="4" t="s">
        <v>2616</v>
      </c>
      <c r="R165" s="4"/>
      <c r="S165" s="4"/>
      <c r="T165" s="4" t="str">
        <f>HYPERLINK("http://slimages.macys.com/is/image/MCY/20655397 ")</f>
        <v xml:space="preserve">http://slimages.macys.com/is/image/MCY/20655397 </v>
      </c>
    </row>
    <row r="166" spans="1:20" ht="15" customHeight="1" x14ac:dyDescent="0.25">
      <c r="A166" s="4" t="s">
        <v>2489</v>
      </c>
      <c r="B166" s="2" t="s">
        <v>2487</v>
      </c>
      <c r="C166" s="2" t="s">
        <v>2488</v>
      </c>
      <c r="D166" s="5" t="s">
        <v>2490</v>
      </c>
      <c r="E166" s="4" t="s">
        <v>2491</v>
      </c>
      <c r="F166" s="6">
        <v>14221323</v>
      </c>
      <c r="G166" s="3">
        <v>14221323</v>
      </c>
      <c r="H166" s="7">
        <v>194654553286</v>
      </c>
      <c r="I166" s="8" t="s">
        <v>753</v>
      </c>
      <c r="J166" s="4">
        <v>1</v>
      </c>
      <c r="K166" s="9">
        <v>38</v>
      </c>
      <c r="L166" s="9">
        <v>38</v>
      </c>
      <c r="M166" s="4" t="s">
        <v>31</v>
      </c>
      <c r="N166" s="4" t="s">
        <v>2567</v>
      </c>
      <c r="O166" s="4">
        <v>8</v>
      </c>
      <c r="P166" s="4" t="s">
        <v>2510</v>
      </c>
      <c r="Q166" s="4" t="s">
        <v>2549</v>
      </c>
      <c r="R166" s="4"/>
      <c r="S166" s="4"/>
      <c r="T166" s="4"/>
    </row>
    <row r="167" spans="1:20" ht="15" customHeight="1" x14ac:dyDescent="0.25">
      <c r="A167" s="4" t="s">
        <v>2489</v>
      </c>
      <c r="B167" s="2" t="s">
        <v>2487</v>
      </c>
      <c r="C167" s="2" t="s">
        <v>2488</v>
      </c>
      <c r="D167" s="5" t="s">
        <v>2490</v>
      </c>
      <c r="E167" s="4" t="s">
        <v>2491</v>
      </c>
      <c r="F167" s="6">
        <v>14221323</v>
      </c>
      <c r="G167" s="3">
        <v>14221323</v>
      </c>
      <c r="H167" s="7">
        <v>194654553590</v>
      </c>
      <c r="I167" s="8" t="s">
        <v>2546</v>
      </c>
      <c r="J167" s="4">
        <v>1</v>
      </c>
      <c r="K167" s="9">
        <v>40</v>
      </c>
      <c r="L167" s="9">
        <v>40</v>
      </c>
      <c r="M167" s="4" t="s">
        <v>2547</v>
      </c>
      <c r="N167" s="4" t="s">
        <v>2548</v>
      </c>
      <c r="O167" s="4">
        <v>12</v>
      </c>
      <c r="P167" s="4" t="s">
        <v>2510</v>
      </c>
      <c r="Q167" s="4" t="s">
        <v>2549</v>
      </c>
      <c r="R167" s="4"/>
      <c r="S167" s="4"/>
      <c r="T167" s="4"/>
    </row>
    <row r="168" spans="1:20" ht="15" customHeight="1" x14ac:dyDescent="0.25">
      <c r="A168" s="4" t="s">
        <v>2489</v>
      </c>
      <c r="B168" s="2" t="s">
        <v>2487</v>
      </c>
      <c r="C168" s="2" t="s">
        <v>2488</v>
      </c>
      <c r="D168" s="5" t="s">
        <v>2490</v>
      </c>
      <c r="E168" s="4" t="s">
        <v>2491</v>
      </c>
      <c r="F168" s="6">
        <v>14221323</v>
      </c>
      <c r="G168" s="3">
        <v>14221323</v>
      </c>
      <c r="H168" s="7">
        <v>195883380681</v>
      </c>
      <c r="I168" s="8" t="s">
        <v>32</v>
      </c>
      <c r="J168" s="4">
        <v>1</v>
      </c>
      <c r="K168" s="9">
        <v>8.99</v>
      </c>
      <c r="L168" s="9">
        <v>8.99</v>
      </c>
      <c r="M168" s="4" t="s">
        <v>3107</v>
      </c>
      <c r="N168" s="4" t="s">
        <v>2501</v>
      </c>
      <c r="O168" s="4">
        <v>7</v>
      </c>
      <c r="P168" s="4" t="s">
        <v>2506</v>
      </c>
      <c r="Q168" s="4" t="s">
        <v>2527</v>
      </c>
      <c r="R168" s="4"/>
      <c r="S168" s="4"/>
      <c r="T168" s="4" t="str">
        <f>HYPERLINK("http://slimages.macys.com/is/image/MCY/20192083 ")</f>
        <v xml:space="preserve">http://slimages.macys.com/is/image/MCY/20192083 </v>
      </c>
    </row>
    <row r="169" spans="1:20" ht="15" customHeight="1" x14ac:dyDescent="0.25">
      <c r="A169" s="4" t="s">
        <v>2489</v>
      </c>
      <c r="B169" s="2" t="s">
        <v>2487</v>
      </c>
      <c r="C169" s="2" t="s">
        <v>2488</v>
      </c>
      <c r="D169" s="5" t="s">
        <v>2490</v>
      </c>
      <c r="E169" s="4" t="s">
        <v>2491</v>
      </c>
      <c r="F169" s="6">
        <v>14221323</v>
      </c>
      <c r="G169" s="3">
        <v>14221323</v>
      </c>
      <c r="H169" s="7">
        <v>762120084901</v>
      </c>
      <c r="I169" s="8" t="s">
        <v>763</v>
      </c>
      <c r="J169" s="4">
        <v>2</v>
      </c>
      <c r="K169" s="9">
        <v>7.99</v>
      </c>
      <c r="L169" s="9">
        <v>15.98</v>
      </c>
      <c r="M169" s="4" t="s">
        <v>1586</v>
      </c>
      <c r="N169" s="4" t="s">
        <v>2501</v>
      </c>
      <c r="O169" s="4">
        <v>6</v>
      </c>
      <c r="P169" s="4" t="s">
        <v>2602</v>
      </c>
      <c r="Q169" s="4" t="s">
        <v>2528</v>
      </c>
      <c r="R169" s="4"/>
      <c r="S169" s="4"/>
      <c r="T169" s="4" t="str">
        <f>HYPERLINK("http://slimages.macys.com/is/image/MCY/20691798 ")</f>
        <v xml:space="preserve">http://slimages.macys.com/is/image/MCY/20691798 </v>
      </c>
    </row>
    <row r="170" spans="1:20" ht="15" customHeight="1" x14ac:dyDescent="0.25">
      <c r="A170" s="4" t="s">
        <v>2489</v>
      </c>
      <c r="B170" s="2" t="s">
        <v>2487</v>
      </c>
      <c r="C170" s="2" t="s">
        <v>2488</v>
      </c>
      <c r="D170" s="5" t="s">
        <v>2490</v>
      </c>
      <c r="E170" s="4" t="s">
        <v>2491</v>
      </c>
      <c r="F170" s="6">
        <v>14221323</v>
      </c>
      <c r="G170" s="3">
        <v>14221323</v>
      </c>
      <c r="H170" s="7">
        <v>194654624320</v>
      </c>
      <c r="I170" s="8" t="s">
        <v>33</v>
      </c>
      <c r="J170" s="4">
        <v>1</v>
      </c>
      <c r="K170" s="9">
        <v>57</v>
      </c>
      <c r="L170" s="9">
        <v>57</v>
      </c>
      <c r="M170" s="4" t="s">
        <v>34</v>
      </c>
      <c r="N170" s="4" t="s">
        <v>2523</v>
      </c>
      <c r="O170" s="4">
        <v>11</v>
      </c>
      <c r="P170" s="4" t="s">
        <v>2510</v>
      </c>
      <c r="Q170" s="4" t="s">
        <v>2545</v>
      </c>
      <c r="R170" s="4"/>
      <c r="S170" s="4"/>
      <c r="T170" s="4" t="str">
        <f>HYPERLINK("http://slimages.macys.com/is/image/MCY/19794745 ")</f>
        <v xml:space="preserve">http://slimages.macys.com/is/image/MCY/19794745 </v>
      </c>
    </row>
    <row r="171" spans="1:20" ht="15" customHeight="1" x14ac:dyDescent="0.25">
      <c r="A171" s="4" t="s">
        <v>2489</v>
      </c>
      <c r="B171" s="2" t="s">
        <v>2487</v>
      </c>
      <c r="C171" s="2" t="s">
        <v>2488</v>
      </c>
      <c r="D171" s="5" t="s">
        <v>2490</v>
      </c>
      <c r="E171" s="4" t="s">
        <v>2491</v>
      </c>
      <c r="F171" s="6">
        <v>14221323</v>
      </c>
      <c r="G171" s="3">
        <v>14221323</v>
      </c>
      <c r="H171" s="7">
        <v>888133199767</v>
      </c>
      <c r="I171" s="8" t="s">
        <v>35</v>
      </c>
      <c r="J171" s="4">
        <v>1</v>
      </c>
      <c r="K171" s="9">
        <v>62</v>
      </c>
      <c r="L171" s="9">
        <v>62</v>
      </c>
      <c r="M171" s="4" t="s">
        <v>36</v>
      </c>
      <c r="N171" s="4" t="s">
        <v>2497</v>
      </c>
      <c r="O171" s="4" t="s">
        <v>1619</v>
      </c>
      <c r="P171" s="4" t="s">
        <v>2510</v>
      </c>
      <c r="Q171" s="4" t="s">
        <v>3150</v>
      </c>
      <c r="R171" s="4"/>
      <c r="S171" s="4"/>
      <c r="T171" s="4" t="str">
        <f>HYPERLINK("http://slimages.macys.com/is/image/MCY/18144800 ")</f>
        <v xml:space="preserve">http://slimages.macys.com/is/image/MCY/18144800 </v>
      </c>
    </row>
    <row r="172" spans="1:20" ht="15" customHeight="1" x14ac:dyDescent="0.25">
      <c r="A172" s="4" t="s">
        <v>2489</v>
      </c>
      <c r="B172" s="2" t="s">
        <v>2487</v>
      </c>
      <c r="C172" s="2" t="s">
        <v>2488</v>
      </c>
      <c r="D172" s="5" t="s">
        <v>2490</v>
      </c>
      <c r="E172" s="4" t="s">
        <v>2491</v>
      </c>
      <c r="F172" s="6">
        <v>14221323</v>
      </c>
      <c r="G172" s="3">
        <v>14221323</v>
      </c>
      <c r="H172" s="7">
        <v>195189297843</v>
      </c>
      <c r="I172" s="8" t="s">
        <v>3038</v>
      </c>
      <c r="J172" s="4">
        <v>1</v>
      </c>
      <c r="K172" s="9">
        <v>50</v>
      </c>
      <c r="L172" s="9">
        <v>50</v>
      </c>
      <c r="M172" s="4" t="s">
        <v>3039</v>
      </c>
      <c r="N172" s="4" t="s">
        <v>2567</v>
      </c>
      <c r="O172" s="4" t="s">
        <v>2509</v>
      </c>
      <c r="P172" s="4" t="s">
        <v>2510</v>
      </c>
      <c r="Q172" s="4" t="s">
        <v>2700</v>
      </c>
      <c r="R172" s="4"/>
      <c r="S172" s="4"/>
      <c r="T172" s="4" t="str">
        <f>HYPERLINK("http://slimages.macys.com/is/image/MCY/20062616 ")</f>
        <v xml:space="preserve">http://slimages.macys.com/is/image/MCY/20062616 </v>
      </c>
    </row>
    <row r="173" spans="1:20" ht="15" customHeight="1" x14ac:dyDescent="0.25">
      <c r="A173" s="4" t="s">
        <v>2489</v>
      </c>
      <c r="B173" s="2" t="s">
        <v>2487</v>
      </c>
      <c r="C173" s="2" t="s">
        <v>2488</v>
      </c>
      <c r="D173" s="5" t="s">
        <v>2490</v>
      </c>
      <c r="E173" s="4" t="s">
        <v>2491</v>
      </c>
      <c r="F173" s="6">
        <v>14221323</v>
      </c>
      <c r="G173" s="3">
        <v>14221323</v>
      </c>
      <c r="H173" s="7">
        <v>194133458279</v>
      </c>
      <c r="I173" s="8" t="s">
        <v>37</v>
      </c>
      <c r="J173" s="4">
        <v>1</v>
      </c>
      <c r="K173" s="9">
        <v>15.56</v>
      </c>
      <c r="L173" s="9">
        <v>15.56</v>
      </c>
      <c r="M173" s="4" t="s">
        <v>1136</v>
      </c>
      <c r="N173" s="4"/>
      <c r="O173" s="4" t="s">
        <v>2705</v>
      </c>
      <c r="P173" s="4" t="s">
        <v>2657</v>
      </c>
      <c r="Q173" s="4" t="s">
        <v>2658</v>
      </c>
      <c r="R173" s="4"/>
      <c r="S173" s="4"/>
      <c r="T173" s="4" t="str">
        <f>HYPERLINK("http://slimages.macys.com/is/image/MCY/19934677 ")</f>
        <v xml:space="preserve">http://slimages.macys.com/is/image/MCY/19934677 </v>
      </c>
    </row>
    <row r="174" spans="1:20" ht="15" customHeight="1" x14ac:dyDescent="0.25">
      <c r="A174" s="4" t="s">
        <v>2489</v>
      </c>
      <c r="B174" s="2" t="s">
        <v>2487</v>
      </c>
      <c r="C174" s="2" t="s">
        <v>2488</v>
      </c>
      <c r="D174" s="5" t="s">
        <v>2490</v>
      </c>
      <c r="E174" s="4" t="s">
        <v>2491</v>
      </c>
      <c r="F174" s="6">
        <v>14221323</v>
      </c>
      <c r="G174" s="3">
        <v>14221323</v>
      </c>
      <c r="H174" s="7">
        <v>733003959555</v>
      </c>
      <c r="I174" s="8" t="s">
        <v>38</v>
      </c>
      <c r="J174" s="4">
        <v>1</v>
      </c>
      <c r="K174" s="9">
        <v>21.99</v>
      </c>
      <c r="L174" s="9">
        <v>21.99</v>
      </c>
      <c r="M174" s="4" t="s">
        <v>39</v>
      </c>
      <c r="N174" s="4"/>
      <c r="O174" s="4" t="s">
        <v>2555</v>
      </c>
      <c r="P174" s="4" t="s">
        <v>2520</v>
      </c>
      <c r="Q174" s="4" t="s">
        <v>2521</v>
      </c>
      <c r="R174" s="4"/>
      <c r="S174" s="4"/>
      <c r="T174" s="4" t="str">
        <f>HYPERLINK("http://slimages.macys.com/is/image/MCY/19550286 ")</f>
        <v xml:space="preserve">http://slimages.macys.com/is/image/MCY/19550286 </v>
      </c>
    </row>
    <row r="175" spans="1:20" ht="15" customHeight="1" x14ac:dyDescent="0.25">
      <c r="A175" s="4" t="s">
        <v>2489</v>
      </c>
      <c r="B175" s="2" t="s">
        <v>2487</v>
      </c>
      <c r="C175" s="2" t="s">
        <v>2488</v>
      </c>
      <c r="D175" s="5" t="s">
        <v>2490</v>
      </c>
      <c r="E175" s="4" t="s">
        <v>2491</v>
      </c>
      <c r="F175" s="6">
        <v>14221323</v>
      </c>
      <c r="G175" s="3">
        <v>14221323</v>
      </c>
      <c r="H175" s="7">
        <v>733002942459</v>
      </c>
      <c r="I175" s="8" t="s">
        <v>2137</v>
      </c>
      <c r="J175" s="4">
        <v>1</v>
      </c>
      <c r="K175" s="9">
        <v>6.99</v>
      </c>
      <c r="L175" s="9">
        <v>6.99</v>
      </c>
      <c r="M175" s="4" t="s">
        <v>2976</v>
      </c>
      <c r="N175" s="4" t="s">
        <v>2497</v>
      </c>
      <c r="O175" s="4" t="s">
        <v>2498</v>
      </c>
      <c r="P175" s="4" t="s">
        <v>2520</v>
      </c>
      <c r="Q175" s="4" t="s">
        <v>2521</v>
      </c>
      <c r="R175" s="4"/>
      <c r="S175" s="4"/>
      <c r="T175" s="4" t="str">
        <f>HYPERLINK("http://slimages.macys.com/is/image/MCY/19254522 ")</f>
        <v xml:space="preserve">http://slimages.macys.com/is/image/MCY/19254522 </v>
      </c>
    </row>
    <row r="176" spans="1:20" ht="15" customHeight="1" x14ac:dyDescent="0.25">
      <c r="A176" s="4" t="s">
        <v>2489</v>
      </c>
      <c r="B176" s="2" t="s">
        <v>2487</v>
      </c>
      <c r="C176" s="2" t="s">
        <v>2488</v>
      </c>
      <c r="D176" s="5" t="s">
        <v>2490</v>
      </c>
      <c r="E176" s="4" t="s">
        <v>2491</v>
      </c>
      <c r="F176" s="6">
        <v>14221323</v>
      </c>
      <c r="G176" s="3">
        <v>14221323</v>
      </c>
      <c r="H176" s="7">
        <v>733001037781</v>
      </c>
      <c r="I176" s="8" t="s">
        <v>2008</v>
      </c>
      <c r="J176" s="4">
        <v>1</v>
      </c>
      <c r="K176" s="9">
        <v>6.99</v>
      </c>
      <c r="L176" s="9">
        <v>6.99</v>
      </c>
      <c r="M176" s="4" t="s">
        <v>3064</v>
      </c>
      <c r="N176" s="4" t="s">
        <v>2497</v>
      </c>
      <c r="O176" s="4" t="s">
        <v>2532</v>
      </c>
      <c r="P176" s="4" t="s">
        <v>2520</v>
      </c>
      <c r="Q176" s="4" t="s">
        <v>2521</v>
      </c>
      <c r="R176" s="4"/>
      <c r="S176" s="4"/>
      <c r="T176" s="4" t="str">
        <f>HYPERLINK("http://slimages.macys.com/is/image/MCY/17759330 ")</f>
        <v xml:space="preserve">http://slimages.macys.com/is/image/MCY/17759330 </v>
      </c>
    </row>
    <row r="177" spans="1:20" ht="15" customHeight="1" x14ac:dyDescent="0.25">
      <c r="A177" s="4" t="s">
        <v>2489</v>
      </c>
      <c r="B177" s="2" t="s">
        <v>2487</v>
      </c>
      <c r="C177" s="2" t="s">
        <v>2488</v>
      </c>
      <c r="D177" s="5" t="s">
        <v>2490</v>
      </c>
      <c r="E177" s="4" t="s">
        <v>2491</v>
      </c>
      <c r="F177" s="6">
        <v>14221323</v>
      </c>
      <c r="G177" s="3">
        <v>14221323</v>
      </c>
      <c r="H177" s="7">
        <v>762120113540</v>
      </c>
      <c r="I177" s="8" t="s">
        <v>40</v>
      </c>
      <c r="J177" s="4">
        <v>1</v>
      </c>
      <c r="K177" s="9">
        <v>5.99</v>
      </c>
      <c r="L177" s="9">
        <v>5.99</v>
      </c>
      <c r="M177" s="4" t="s">
        <v>1482</v>
      </c>
      <c r="N177" s="4" t="s">
        <v>2518</v>
      </c>
      <c r="O177" s="4" t="s">
        <v>2502</v>
      </c>
      <c r="P177" s="4" t="s">
        <v>2503</v>
      </c>
      <c r="Q177" s="4" t="s">
        <v>2504</v>
      </c>
      <c r="R177" s="4"/>
      <c r="S177" s="4"/>
      <c r="T177" s="4" t="str">
        <f>HYPERLINK("http://slimages.macys.com/is/image/MCY/1063034 ")</f>
        <v xml:space="preserve">http://slimages.macys.com/is/image/MCY/1063034 </v>
      </c>
    </row>
    <row r="178" spans="1:20" ht="15" customHeight="1" x14ac:dyDescent="0.25">
      <c r="A178" s="4" t="s">
        <v>2489</v>
      </c>
      <c r="B178" s="2" t="s">
        <v>2487</v>
      </c>
      <c r="C178" s="2" t="s">
        <v>2488</v>
      </c>
      <c r="D178" s="5" t="s">
        <v>2490</v>
      </c>
      <c r="E178" s="4" t="s">
        <v>2491</v>
      </c>
      <c r="F178" s="6">
        <v>14221323</v>
      </c>
      <c r="G178" s="3">
        <v>14221323</v>
      </c>
      <c r="H178" s="7">
        <v>733004524226</v>
      </c>
      <c r="I178" s="8" t="s">
        <v>1598</v>
      </c>
      <c r="J178" s="4">
        <v>1</v>
      </c>
      <c r="K178" s="9">
        <v>22.99</v>
      </c>
      <c r="L178" s="9">
        <v>22.99</v>
      </c>
      <c r="M178" s="4" t="s">
        <v>1599</v>
      </c>
      <c r="N178" s="4" t="s">
        <v>2731</v>
      </c>
      <c r="O178" s="4" t="s">
        <v>2628</v>
      </c>
      <c r="P178" s="4" t="s">
        <v>2602</v>
      </c>
      <c r="Q178" s="4" t="s">
        <v>2528</v>
      </c>
      <c r="R178" s="4"/>
      <c r="S178" s="4"/>
      <c r="T178" s="4" t="str">
        <f>HYPERLINK("http://slimages.macys.com/is/image/MCY/20168214 ")</f>
        <v xml:space="preserve">http://slimages.macys.com/is/image/MCY/20168214 </v>
      </c>
    </row>
    <row r="179" spans="1:20" ht="15" customHeight="1" x14ac:dyDescent="0.25">
      <c r="A179" s="4" t="s">
        <v>2489</v>
      </c>
      <c r="B179" s="2" t="s">
        <v>2487</v>
      </c>
      <c r="C179" s="2" t="s">
        <v>2488</v>
      </c>
      <c r="D179" s="5" t="s">
        <v>2490</v>
      </c>
      <c r="E179" s="4" t="s">
        <v>2491</v>
      </c>
      <c r="F179" s="6">
        <v>14221323</v>
      </c>
      <c r="G179" s="3">
        <v>14221323</v>
      </c>
      <c r="H179" s="7">
        <v>733004952876</v>
      </c>
      <c r="I179" s="8" t="s">
        <v>809</v>
      </c>
      <c r="J179" s="4">
        <v>1</v>
      </c>
      <c r="K179" s="9">
        <v>13.99</v>
      </c>
      <c r="L179" s="9">
        <v>13.99</v>
      </c>
      <c r="M179" s="4" t="s">
        <v>2698</v>
      </c>
      <c r="N179" s="4" t="s">
        <v>2501</v>
      </c>
      <c r="O179" s="4" t="s">
        <v>2559</v>
      </c>
      <c r="P179" s="4" t="s">
        <v>2503</v>
      </c>
      <c r="Q179" s="4" t="s">
        <v>2504</v>
      </c>
      <c r="R179" s="4"/>
      <c r="S179" s="4"/>
      <c r="T179" s="4" t="str">
        <f>HYPERLINK("http://slimages.macys.com/is/image/MCY/20142527 ")</f>
        <v xml:space="preserve">http://slimages.macys.com/is/image/MCY/20142527 </v>
      </c>
    </row>
    <row r="180" spans="1:20" ht="15" customHeight="1" x14ac:dyDescent="0.25">
      <c r="A180" s="4" t="s">
        <v>2489</v>
      </c>
      <c r="B180" s="2" t="s">
        <v>2487</v>
      </c>
      <c r="C180" s="2" t="s">
        <v>2488</v>
      </c>
      <c r="D180" s="5" t="s">
        <v>2490</v>
      </c>
      <c r="E180" s="4" t="s">
        <v>2491</v>
      </c>
      <c r="F180" s="6">
        <v>14221323</v>
      </c>
      <c r="G180" s="3">
        <v>14221323</v>
      </c>
      <c r="H180" s="7">
        <v>492030649227</v>
      </c>
      <c r="I180" s="8" t="s">
        <v>1281</v>
      </c>
      <c r="J180" s="4">
        <v>9</v>
      </c>
      <c r="K180" s="9">
        <v>7.5</v>
      </c>
      <c r="L180" s="9">
        <v>67.5</v>
      </c>
      <c r="M180" s="4" t="s">
        <v>1281</v>
      </c>
      <c r="N180" s="4" t="s">
        <v>2769</v>
      </c>
      <c r="O180" s="4" t="s">
        <v>2669</v>
      </c>
      <c r="P180" s="4" t="s">
        <v>2494</v>
      </c>
      <c r="Q180" s="4" t="s">
        <v>2495</v>
      </c>
      <c r="R180" s="4"/>
      <c r="S180" s="4"/>
      <c r="T180" s="4"/>
    </row>
    <row r="181" spans="1:20" ht="15" customHeight="1" x14ac:dyDescent="0.25">
      <c r="A181" s="4" t="s">
        <v>2489</v>
      </c>
      <c r="B181" s="2" t="s">
        <v>2487</v>
      </c>
      <c r="C181" s="2" t="s">
        <v>2488</v>
      </c>
      <c r="D181" s="5" t="s">
        <v>2490</v>
      </c>
      <c r="E181" s="4" t="s">
        <v>2491</v>
      </c>
      <c r="F181" s="6">
        <v>14221323</v>
      </c>
      <c r="G181" s="3">
        <v>14221323</v>
      </c>
      <c r="H181" s="7">
        <v>733003643638</v>
      </c>
      <c r="I181" s="8" t="s">
        <v>3087</v>
      </c>
      <c r="J181" s="4">
        <v>2</v>
      </c>
      <c r="K181" s="9">
        <v>18.989999999999998</v>
      </c>
      <c r="L181" s="9">
        <v>37.979999999999997</v>
      </c>
      <c r="M181" s="4" t="s">
        <v>2984</v>
      </c>
      <c r="N181" s="4" t="s">
        <v>2567</v>
      </c>
      <c r="O181" s="4" t="s">
        <v>2653</v>
      </c>
      <c r="P181" s="4" t="s">
        <v>2515</v>
      </c>
      <c r="Q181" s="4" t="s">
        <v>2972</v>
      </c>
      <c r="R181" s="4"/>
      <c r="S181" s="4"/>
      <c r="T181" s="4" t="str">
        <f>HYPERLINK("http://slimages.macys.com/is/image/MCY/20008203 ")</f>
        <v xml:space="preserve">http://slimages.macys.com/is/image/MCY/20008203 </v>
      </c>
    </row>
    <row r="182" spans="1:20" ht="15" customHeight="1" x14ac:dyDescent="0.25">
      <c r="A182" s="4" t="s">
        <v>2489</v>
      </c>
      <c r="B182" s="2" t="s">
        <v>2487</v>
      </c>
      <c r="C182" s="2" t="s">
        <v>2488</v>
      </c>
      <c r="D182" s="5" t="s">
        <v>2490</v>
      </c>
      <c r="E182" s="4" t="s">
        <v>2491</v>
      </c>
      <c r="F182" s="6">
        <v>14221323</v>
      </c>
      <c r="G182" s="3">
        <v>14221323</v>
      </c>
      <c r="H182" s="7">
        <v>733003643591</v>
      </c>
      <c r="I182" s="8" t="s">
        <v>3239</v>
      </c>
      <c r="J182" s="4">
        <v>2</v>
      </c>
      <c r="K182" s="9">
        <v>18.989999999999998</v>
      </c>
      <c r="L182" s="9">
        <v>37.979999999999997</v>
      </c>
      <c r="M182" s="4" t="s">
        <v>2984</v>
      </c>
      <c r="N182" s="4" t="s">
        <v>2567</v>
      </c>
      <c r="O182" s="4">
        <v>6</v>
      </c>
      <c r="P182" s="4" t="s">
        <v>2515</v>
      </c>
      <c r="Q182" s="4" t="s">
        <v>2972</v>
      </c>
      <c r="R182" s="4"/>
      <c r="S182" s="4"/>
      <c r="T182" s="4" t="str">
        <f>HYPERLINK("http://slimages.macys.com/is/image/MCY/20008203 ")</f>
        <v xml:space="preserve">http://slimages.macys.com/is/image/MCY/20008203 </v>
      </c>
    </row>
    <row r="183" spans="1:20" ht="15" customHeight="1" x14ac:dyDescent="0.25">
      <c r="A183" s="4" t="s">
        <v>2489</v>
      </c>
      <c r="B183" s="2" t="s">
        <v>2487</v>
      </c>
      <c r="C183" s="2" t="s">
        <v>2488</v>
      </c>
      <c r="D183" s="5" t="s">
        <v>2490</v>
      </c>
      <c r="E183" s="4" t="s">
        <v>2491</v>
      </c>
      <c r="F183" s="6">
        <v>14221323</v>
      </c>
      <c r="G183" s="3">
        <v>14221323</v>
      </c>
      <c r="H183" s="7">
        <v>742728813806</v>
      </c>
      <c r="I183" s="8" t="s">
        <v>41</v>
      </c>
      <c r="J183" s="4">
        <v>1</v>
      </c>
      <c r="K183" s="9">
        <v>35.99</v>
      </c>
      <c r="L183" s="9">
        <v>35.99</v>
      </c>
      <c r="M183" s="4" t="s">
        <v>1624</v>
      </c>
      <c r="N183" s="4" t="s">
        <v>2535</v>
      </c>
      <c r="O183" s="4" t="s">
        <v>2524</v>
      </c>
      <c r="P183" s="4" t="s">
        <v>2499</v>
      </c>
      <c r="Q183" s="4" t="s">
        <v>3093</v>
      </c>
      <c r="R183" s="4"/>
      <c r="S183" s="4"/>
      <c r="T183" s="4" t="str">
        <f>HYPERLINK("http://slimages.macys.com/is/image/MCY/20168632 ")</f>
        <v xml:space="preserve">http://slimages.macys.com/is/image/MCY/20168632 </v>
      </c>
    </row>
    <row r="184" spans="1:20" ht="15" customHeight="1" x14ac:dyDescent="0.25">
      <c r="A184" s="4" t="s">
        <v>2489</v>
      </c>
      <c r="B184" s="2" t="s">
        <v>2487</v>
      </c>
      <c r="C184" s="2" t="s">
        <v>2488</v>
      </c>
      <c r="D184" s="5" t="s">
        <v>2490</v>
      </c>
      <c r="E184" s="4" t="s">
        <v>2491</v>
      </c>
      <c r="F184" s="6">
        <v>14221323</v>
      </c>
      <c r="G184" s="3">
        <v>14221323</v>
      </c>
      <c r="H184" s="7">
        <v>194135478794</v>
      </c>
      <c r="I184" s="8" t="s">
        <v>42</v>
      </c>
      <c r="J184" s="4">
        <v>1</v>
      </c>
      <c r="K184" s="9">
        <v>17.309999999999999</v>
      </c>
      <c r="L184" s="9">
        <v>17.309999999999999</v>
      </c>
      <c r="M184" s="4" t="s">
        <v>43</v>
      </c>
      <c r="N184" s="4"/>
      <c r="O184" s="4" t="s">
        <v>2705</v>
      </c>
      <c r="P184" s="4" t="s">
        <v>2657</v>
      </c>
      <c r="Q184" s="4" t="s">
        <v>2658</v>
      </c>
      <c r="R184" s="4"/>
      <c r="S184" s="4"/>
      <c r="T184" s="4" t="str">
        <f>HYPERLINK("http://slimages.macys.com/is/image/MCY/19911010 ")</f>
        <v xml:space="preserve">http://slimages.macys.com/is/image/MCY/19911010 </v>
      </c>
    </row>
    <row r="185" spans="1:20" ht="15" customHeight="1" x14ac:dyDescent="0.25">
      <c r="A185" s="4" t="s">
        <v>2489</v>
      </c>
      <c r="B185" s="2" t="s">
        <v>2487</v>
      </c>
      <c r="C185" s="2" t="s">
        <v>2488</v>
      </c>
      <c r="D185" s="5" t="s">
        <v>2490</v>
      </c>
      <c r="E185" s="4" t="s">
        <v>2491</v>
      </c>
      <c r="F185" s="6">
        <v>14221323</v>
      </c>
      <c r="G185" s="3">
        <v>14221323</v>
      </c>
      <c r="H185" s="7">
        <v>733004542831</v>
      </c>
      <c r="I185" s="8" t="s">
        <v>1205</v>
      </c>
      <c r="J185" s="4">
        <v>1</v>
      </c>
      <c r="K185" s="9">
        <v>40.99</v>
      </c>
      <c r="L185" s="9">
        <v>40.99</v>
      </c>
      <c r="M185" s="4" t="s">
        <v>2047</v>
      </c>
      <c r="N185" s="4" t="s">
        <v>2731</v>
      </c>
      <c r="O185" s="4" t="s">
        <v>2519</v>
      </c>
      <c r="P185" s="4" t="s">
        <v>2543</v>
      </c>
      <c r="Q185" s="4" t="s">
        <v>2528</v>
      </c>
      <c r="R185" s="4"/>
      <c r="S185" s="4"/>
      <c r="T185" s="4" t="str">
        <f>HYPERLINK("http://slimages.macys.com/is/image/MCY/20158262 ")</f>
        <v xml:space="preserve">http://slimages.macys.com/is/image/MCY/20158262 </v>
      </c>
    </row>
    <row r="186" spans="1:20" ht="15" customHeight="1" x14ac:dyDescent="0.25">
      <c r="A186" s="4" t="s">
        <v>2489</v>
      </c>
      <c r="B186" s="2" t="s">
        <v>2487</v>
      </c>
      <c r="C186" s="2" t="s">
        <v>2488</v>
      </c>
      <c r="D186" s="5" t="s">
        <v>2490</v>
      </c>
      <c r="E186" s="4" t="s">
        <v>2491</v>
      </c>
      <c r="F186" s="6">
        <v>14221323</v>
      </c>
      <c r="G186" s="3">
        <v>14221323</v>
      </c>
      <c r="H186" s="7">
        <v>733004746192</v>
      </c>
      <c r="I186" s="8" t="s">
        <v>1959</v>
      </c>
      <c r="J186" s="4">
        <v>1</v>
      </c>
      <c r="K186" s="9">
        <v>6.99</v>
      </c>
      <c r="L186" s="9">
        <v>6.99</v>
      </c>
      <c r="M186" s="4" t="s">
        <v>2885</v>
      </c>
      <c r="N186" s="4" t="s">
        <v>2505</v>
      </c>
      <c r="O186" s="4" t="s">
        <v>2601</v>
      </c>
      <c r="P186" s="4" t="s">
        <v>2503</v>
      </c>
      <c r="Q186" s="4" t="s">
        <v>2504</v>
      </c>
      <c r="R186" s="4"/>
      <c r="S186" s="4"/>
      <c r="T186" s="4" t="str">
        <f>HYPERLINK("http://slimages.macys.com/is/image/MCY/19977855 ")</f>
        <v xml:space="preserve">http://slimages.macys.com/is/image/MCY/19977855 </v>
      </c>
    </row>
    <row r="187" spans="1:20" ht="15" customHeight="1" x14ac:dyDescent="0.25">
      <c r="A187" s="4" t="s">
        <v>2489</v>
      </c>
      <c r="B187" s="2" t="s">
        <v>2487</v>
      </c>
      <c r="C187" s="2" t="s">
        <v>2488</v>
      </c>
      <c r="D187" s="5" t="s">
        <v>2490</v>
      </c>
      <c r="E187" s="4" t="s">
        <v>2491</v>
      </c>
      <c r="F187" s="6">
        <v>14221323</v>
      </c>
      <c r="G187" s="3">
        <v>14221323</v>
      </c>
      <c r="H187" s="7">
        <v>733004085994</v>
      </c>
      <c r="I187" s="8" t="s">
        <v>1564</v>
      </c>
      <c r="J187" s="4">
        <v>3</v>
      </c>
      <c r="K187" s="9">
        <v>21.99</v>
      </c>
      <c r="L187" s="9">
        <v>65.97</v>
      </c>
      <c r="M187" s="4" t="s">
        <v>2004</v>
      </c>
      <c r="N187" s="4"/>
      <c r="O187" s="4" t="s">
        <v>2519</v>
      </c>
      <c r="P187" s="4" t="s">
        <v>2543</v>
      </c>
      <c r="Q187" s="4" t="s">
        <v>2528</v>
      </c>
      <c r="R187" s="4"/>
      <c r="S187" s="4"/>
      <c r="T187" s="4" t="str">
        <f>HYPERLINK("http://slimages.macys.com/is/image/MCY/19988445 ")</f>
        <v xml:space="preserve">http://slimages.macys.com/is/image/MCY/19988445 </v>
      </c>
    </row>
    <row r="188" spans="1:20" ht="15" customHeight="1" x14ac:dyDescent="0.25">
      <c r="A188" s="4" t="s">
        <v>2489</v>
      </c>
      <c r="B188" s="2" t="s">
        <v>2487</v>
      </c>
      <c r="C188" s="2" t="s">
        <v>2488</v>
      </c>
      <c r="D188" s="5" t="s">
        <v>2490</v>
      </c>
      <c r="E188" s="4" t="s">
        <v>2491</v>
      </c>
      <c r="F188" s="6">
        <v>14221323</v>
      </c>
      <c r="G188" s="3">
        <v>14221323</v>
      </c>
      <c r="H188" s="7">
        <v>696114431610</v>
      </c>
      <c r="I188" s="8" t="s">
        <v>2973</v>
      </c>
      <c r="J188" s="4">
        <v>1</v>
      </c>
      <c r="K188" s="9">
        <v>19.989999999999998</v>
      </c>
      <c r="L188" s="9">
        <v>19.989999999999998</v>
      </c>
      <c r="M188" s="4" t="s">
        <v>3022</v>
      </c>
      <c r="N188" s="4" t="s">
        <v>2548</v>
      </c>
      <c r="O188" s="10">
        <v>45115</v>
      </c>
      <c r="P188" s="4" t="s">
        <v>2569</v>
      </c>
      <c r="Q188" s="4" t="s">
        <v>2679</v>
      </c>
      <c r="R188" s="4"/>
      <c r="S188" s="4"/>
      <c r="T188" s="4" t="str">
        <f>HYPERLINK("http://slimages.macys.com/is/image/MCY/20426372 ")</f>
        <v xml:space="preserve">http://slimages.macys.com/is/image/MCY/20426372 </v>
      </c>
    </row>
    <row r="189" spans="1:20" ht="15" customHeight="1" x14ac:dyDescent="0.25">
      <c r="A189" s="4" t="s">
        <v>2489</v>
      </c>
      <c r="B189" s="2" t="s">
        <v>2487</v>
      </c>
      <c r="C189" s="2" t="s">
        <v>2488</v>
      </c>
      <c r="D189" s="5" t="s">
        <v>2490</v>
      </c>
      <c r="E189" s="4" t="s">
        <v>2491</v>
      </c>
      <c r="F189" s="6">
        <v>14221323</v>
      </c>
      <c r="G189" s="3">
        <v>14221323</v>
      </c>
      <c r="H189" s="7">
        <v>194135280458</v>
      </c>
      <c r="I189" s="8" t="s">
        <v>1367</v>
      </c>
      <c r="J189" s="4">
        <v>3</v>
      </c>
      <c r="K189" s="9">
        <v>25.07</v>
      </c>
      <c r="L189" s="9">
        <v>75.209999999999994</v>
      </c>
      <c r="M189" s="4" t="s">
        <v>1368</v>
      </c>
      <c r="N189" s="4"/>
      <c r="O189" s="4" t="s">
        <v>2493</v>
      </c>
      <c r="P189" s="4" t="s">
        <v>2494</v>
      </c>
      <c r="Q189" s="4" t="s">
        <v>2560</v>
      </c>
      <c r="R189" s="4"/>
      <c r="S189" s="4"/>
      <c r="T189" s="4" t="str">
        <f>HYPERLINK("http://slimages.macys.com/is/image/MCY/19146571 ")</f>
        <v xml:space="preserve">http://slimages.macys.com/is/image/MCY/19146571 </v>
      </c>
    </row>
    <row r="190" spans="1:20" ht="15" customHeight="1" x14ac:dyDescent="0.25">
      <c r="A190" s="4" t="s">
        <v>2489</v>
      </c>
      <c r="B190" s="2" t="s">
        <v>2487</v>
      </c>
      <c r="C190" s="2" t="s">
        <v>2488</v>
      </c>
      <c r="D190" s="5" t="s">
        <v>2490</v>
      </c>
      <c r="E190" s="4" t="s">
        <v>2491</v>
      </c>
      <c r="F190" s="6">
        <v>14221323</v>
      </c>
      <c r="G190" s="3">
        <v>14221323</v>
      </c>
      <c r="H190" s="7">
        <v>810071956768</v>
      </c>
      <c r="I190" s="8" t="s">
        <v>44</v>
      </c>
      <c r="J190" s="4">
        <v>1</v>
      </c>
      <c r="K190" s="9">
        <v>27.99</v>
      </c>
      <c r="L190" s="9">
        <v>27.99</v>
      </c>
      <c r="M190" s="4" t="s">
        <v>45</v>
      </c>
      <c r="N190" s="4" t="s">
        <v>2676</v>
      </c>
      <c r="O190" s="4">
        <v>14</v>
      </c>
      <c r="P190" s="4" t="s">
        <v>2536</v>
      </c>
      <c r="Q190" s="4" t="s">
        <v>3454</v>
      </c>
      <c r="R190" s="4"/>
      <c r="S190" s="4"/>
      <c r="T190" s="4" t="str">
        <f>HYPERLINK("http://slimages.macys.com/is/image/MCY/19448041 ")</f>
        <v xml:space="preserve">http://slimages.macys.com/is/image/MCY/19448041 </v>
      </c>
    </row>
    <row r="191" spans="1:20" ht="15" customHeight="1" x14ac:dyDescent="0.25">
      <c r="A191" s="4" t="s">
        <v>2489</v>
      </c>
      <c r="B191" s="2" t="s">
        <v>2487</v>
      </c>
      <c r="C191" s="2" t="s">
        <v>2488</v>
      </c>
      <c r="D191" s="5" t="s">
        <v>2490</v>
      </c>
      <c r="E191" s="4" t="s">
        <v>2491</v>
      </c>
      <c r="F191" s="6">
        <v>14221323</v>
      </c>
      <c r="G191" s="3">
        <v>14221323</v>
      </c>
      <c r="H191" s="7">
        <v>762120020244</v>
      </c>
      <c r="I191" s="8" t="s">
        <v>1400</v>
      </c>
      <c r="J191" s="4">
        <v>1</v>
      </c>
      <c r="K191" s="9">
        <v>6.99</v>
      </c>
      <c r="L191" s="9">
        <v>6.99</v>
      </c>
      <c r="M191" s="4" t="s">
        <v>3235</v>
      </c>
      <c r="N191" s="4" t="s">
        <v>2565</v>
      </c>
      <c r="O191" s="4" t="s">
        <v>2559</v>
      </c>
      <c r="P191" s="4" t="s">
        <v>2503</v>
      </c>
      <c r="Q191" s="4" t="s">
        <v>2504</v>
      </c>
      <c r="R191" s="4"/>
      <c r="S191" s="4"/>
      <c r="T191" s="4" t="str">
        <f>HYPERLINK("http://slimages.macys.com/is/image/MCY/20436495 ")</f>
        <v xml:space="preserve">http://slimages.macys.com/is/image/MCY/20436495 </v>
      </c>
    </row>
    <row r="192" spans="1:20" ht="15" customHeight="1" x14ac:dyDescent="0.25">
      <c r="A192" s="4" t="s">
        <v>2489</v>
      </c>
      <c r="B192" s="2" t="s">
        <v>2487</v>
      </c>
      <c r="C192" s="2" t="s">
        <v>2488</v>
      </c>
      <c r="D192" s="5" t="s">
        <v>2490</v>
      </c>
      <c r="E192" s="4" t="s">
        <v>2491</v>
      </c>
      <c r="F192" s="6">
        <v>14221323</v>
      </c>
      <c r="G192" s="3">
        <v>14221323</v>
      </c>
      <c r="H192" s="7">
        <v>762120263283</v>
      </c>
      <c r="I192" s="8" t="s">
        <v>3397</v>
      </c>
      <c r="J192" s="4">
        <v>2</v>
      </c>
      <c r="K192" s="9">
        <v>13.99</v>
      </c>
      <c r="L192" s="9">
        <v>27.98</v>
      </c>
      <c r="M192" s="4" t="s">
        <v>3033</v>
      </c>
      <c r="N192" s="4" t="s">
        <v>2514</v>
      </c>
      <c r="O192" s="4" t="s">
        <v>2555</v>
      </c>
      <c r="P192" s="4" t="s">
        <v>2543</v>
      </c>
      <c r="Q192" s="4" t="s">
        <v>2528</v>
      </c>
      <c r="R192" s="4"/>
      <c r="S192" s="4"/>
      <c r="T192" s="4" t="str">
        <f>HYPERLINK("http://slimages.macys.com/is/image/MCY/20846556 ")</f>
        <v xml:space="preserve">http://slimages.macys.com/is/image/MCY/20846556 </v>
      </c>
    </row>
    <row r="193" spans="1:20" ht="15" customHeight="1" x14ac:dyDescent="0.25">
      <c r="A193" s="4" t="s">
        <v>2489</v>
      </c>
      <c r="B193" s="2" t="s">
        <v>2487</v>
      </c>
      <c r="C193" s="2" t="s">
        <v>2488</v>
      </c>
      <c r="D193" s="5" t="s">
        <v>2490</v>
      </c>
      <c r="E193" s="4" t="s">
        <v>2491</v>
      </c>
      <c r="F193" s="6">
        <v>14221323</v>
      </c>
      <c r="G193" s="3">
        <v>14221323</v>
      </c>
      <c r="H193" s="7">
        <v>733003706005</v>
      </c>
      <c r="I193" s="8" t="s">
        <v>46</v>
      </c>
      <c r="J193" s="4">
        <v>2</v>
      </c>
      <c r="K193" s="9">
        <v>22.99</v>
      </c>
      <c r="L193" s="9">
        <v>45.98</v>
      </c>
      <c r="M193" s="4" t="s">
        <v>1623</v>
      </c>
      <c r="N193" s="4" t="s">
        <v>2523</v>
      </c>
      <c r="O193" s="4" t="s">
        <v>2629</v>
      </c>
      <c r="P193" s="4" t="s">
        <v>2602</v>
      </c>
      <c r="Q193" s="4" t="s">
        <v>2528</v>
      </c>
      <c r="R193" s="4"/>
      <c r="S193" s="4"/>
      <c r="T193" s="4" t="str">
        <f>HYPERLINK("http://slimages.macys.com/is/image/MCY/19632125 ")</f>
        <v xml:space="preserve">http://slimages.macys.com/is/image/MCY/19632125 </v>
      </c>
    </row>
    <row r="194" spans="1:20" ht="15" customHeight="1" x14ac:dyDescent="0.25">
      <c r="A194" s="4" t="s">
        <v>2489</v>
      </c>
      <c r="B194" s="2" t="s">
        <v>2487</v>
      </c>
      <c r="C194" s="2" t="s">
        <v>2488</v>
      </c>
      <c r="D194" s="5" t="s">
        <v>2490</v>
      </c>
      <c r="E194" s="4" t="s">
        <v>2491</v>
      </c>
      <c r="F194" s="6">
        <v>14221323</v>
      </c>
      <c r="G194" s="3">
        <v>14221323</v>
      </c>
      <c r="H194" s="7">
        <v>762120113021</v>
      </c>
      <c r="I194" s="8" t="s">
        <v>3372</v>
      </c>
      <c r="J194" s="4">
        <v>1</v>
      </c>
      <c r="K194" s="9">
        <v>6.99</v>
      </c>
      <c r="L194" s="9">
        <v>6.99</v>
      </c>
      <c r="M194" s="4" t="s">
        <v>3270</v>
      </c>
      <c r="N194" s="4" t="s">
        <v>2518</v>
      </c>
      <c r="O194" s="4" t="s">
        <v>2559</v>
      </c>
      <c r="P194" s="4" t="s">
        <v>2503</v>
      </c>
      <c r="Q194" s="4" t="s">
        <v>2504</v>
      </c>
      <c r="R194" s="4"/>
      <c r="S194" s="4"/>
      <c r="T194" s="4" t="str">
        <f>HYPERLINK("http://slimages.macys.com/is/image/MCY/19977414 ")</f>
        <v xml:space="preserve">http://slimages.macys.com/is/image/MCY/19977414 </v>
      </c>
    </row>
    <row r="195" spans="1:20" ht="15" customHeight="1" x14ac:dyDescent="0.25">
      <c r="A195" s="4" t="s">
        <v>2489</v>
      </c>
      <c r="B195" s="2" t="s">
        <v>2487</v>
      </c>
      <c r="C195" s="2" t="s">
        <v>2488</v>
      </c>
      <c r="D195" s="5" t="s">
        <v>2490</v>
      </c>
      <c r="E195" s="4" t="s">
        <v>2491</v>
      </c>
      <c r="F195" s="6">
        <v>14221323</v>
      </c>
      <c r="G195" s="3">
        <v>14221323</v>
      </c>
      <c r="H195" s="7">
        <v>882925720085</v>
      </c>
      <c r="I195" s="8" t="s">
        <v>47</v>
      </c>
      <c r="J195" s="4">
        <v>1</v>
      </c>
      <c r="K195" s="9">
        <v>25</v>
      </c>
      <c r="L195" s="9">
        <v>25</v>
      </c>
      <c r="M195" s="4">
        <v>321854677021</v>
      </c>
      <c r="N195" s="4" t="s">
        <v>2523</v>
      </c>
      <c r="O195" s="4" t="s">
        <v>2587</v>
      </c>
      <c r="P195" s="4" t="s">
        <v>2615</v>
      </c>
      <c r="Q195" s="4" t="s">
        <v>2616</v>
      </c>
      <c r="R195" s="4"/>
      <c r="S195" s="4"/>
      <c r="T195" s="4" t="str">
        <f>HYPERLINK("http://images.bloomingdales.com/is/image/BLM/11898933 ")</f>
        <v xml:space="preserve">http://images.bloomingdales.com/is/image/BLM/11898933 </v>
      </c>
    </row>
    <row r="196" spans="1:20" ht="15" customHeight="1" x14ac:dyDescent="0.25">
      <c r="A196" s="4" t="s">
        <v>2489</v>
      </c>
      <c r="B196" s="2" t="s">
        <v>2487</v>
      </c>
      <c r="C196" s="2" t="s">
        <v>2488</v>
      </c>
      <c r="D196" s="5" t="s">
        <v>2490</v>
      </c>
      <c r="E196" s="4" t="s">
        <v>2491</v>
      </c>
      <c r="F196" s="6">
        <v>14221323</v>
      </c>
      <c r="G196" s="3">
        <v>14221323</v>
      </c>
      <c r="H196" s="7">
        <v>194753355880</v>
      </c>
      <c r="I196" s="8" t="s">
        <v>48</v>
      </c>
      <c r="J196" s="4">
        <v>1</v>
      </c>
      <c r="K196" s="9">
        <v>44.5</v>
      </c>
      <c r="L196" s="9">
        <v>44.5</v>
      </c>
      <c r="M196" s="4" t="s">
        <v>49</v>
      </c>
      <c r="N196" s="4" t="s">
        <v>2497</v>
      </c>
      <c r="O196" s="4"/>
      <c r="P196" s="4" t="s">
        <v>2985</v>
      </c>
      <c r="Q196" s="4" t="s">
        <v>2715</v>
      </c>
      <c r="R196" s="4"/>
      <c r="S196" s="4"/>
      <c r="T196" s="4" t="str">
        <f>HYPERLINK("http://slimages.macys.com/is/image/MCY/18059705 ")</f>
        <v xml:space="preserve">http://slimages.macys.com/is/image/MCY/18059705 </v>
      </c>
    </row>
    <row r="197" spans="1:20" ht="15" customHeight="1" x14ac:dyDescent="0.25">
      <c r="A197" s="4" t="s">
        <v>2489</v>
      </c>
      <c r="B197" s="2" t="s">
        <v>2487</v>
      </c>
      <c r="C197" s="2" t="s">
        <v>2488</v>
      </c>
      <c r="D197" s="5" t="s">
        <v>2490</v>
      </c>
      <c r="E197" s="4" t="s">
        <v>2491</v>
      </c>
      <c r="F197" s="6">
        <v>14221323</v>
      </c>
      <c r="G197" s="3">
        <v>14221323</v>
      </c>
      <c r="H197" s="7">
        <v>733003705923</v>
      </c>
      <c r="I197" s="8" t="s">
        <v>778</v>
      </c>
      <c r="J197" s="4">
        <v>1</v>
      </c>
      <c r="K197" s="9">
        <v>22.99</v>
      </c>
      <c r="L197" s="9">
        <v>22.99</v>
      </c>
      <c r="M197" s="4" t="s">
        <v>2850</v>
      </c>
      <c r="N197" s="4" t="s">
        <v>2514</v>
      </c>
      <c r="O197" s="4">
        <v>6</v>
      </c>
      <c r="P197" s="4" t="s">
        <v>2602</v>
      </c>
      <c r="Q197" s="4" t="s">
        <v>2528</v>
      </c>
      <c r="R197" s="4"/>
      <c r="S197" s="4"/>
      <c r="T197" s="4" t="str">
        <f>HYPERLINK("http://slimages.macys.com/is/image/MCY/19632121 ")</f>
        <v xml:space="preserve">http://slimages.macys.com/is/image/MCY/19632121 </v>
      </c>
    </row>
    <row r="198" spans="1:20" ht="15" customHeight="1" x14ac:dyDescent="0.25">
      <c r="A198" s="4" t="s">
        <v>2489</v>
      </c>
      <c r="B198" s="2" t="s">
        <v>2487</v>
      </c>
      <c r="C198" s="2" t="s">
        <v>2488</v>
      </c>
      <c r="D198" s="5" t="s">
        <v>2490</v>
      </c>
      <c r="E198" s="4" t="s">
        <v>2491</v>
      </c>
      <c r="F198" s="6">
        <v>14221323</v>
      </c>
      <c r="G198" s="3">
        <v>14221323</v>
      </c>
      <c r="H198" s="7">
        <v>762120086301</v>
      </c>
      <c r="I198" s="8" t="s">
        <v>1282</v>
      </c>
      <c r="J198" s="4">
        <v>1</v>
      </c>
      <c r="K198" s="9">
        <v>7.99</v>
      </c>
      <c r="L198" s="9">
        <v>7.99</v>
      </c>
      <c r="M198" s="4" t="s">
        <v>2030</v>
      </c>
      <c r="N198" s="4" t="s">
        <v>2501</v>
      </c>
      <c r="O198" s="4">
        <v>6</v>
      </c>
      <c r="P198" s="4" t="s">
        <v>2602</v>
      </c>
      <c r="Q198" s="4" t="s">
        <v>2528</v>
      </c>
      <c r="R198" s="4"/>
      <c r="S198" s="4"/>
      <c r="T198" s="4" t="str">
        <f>HYPERLINK("http://slimages.macys.com/is/image/MCY/20691839 ")</f>
        <v xml:space="preserve">http://slimages.macys.com/is/image/MCY/20691839 </v>
      </c>
    </row>
    <row r="199" spans="1:20" ht="15" customHeight="1" x14ac:dyDescent="0.25">
      <c r="A199" s="4" t="s">
        <v>2489</v>
      </c>
      <c r="B199" s="2" t="s">
        <v>2487</v>
      </c>
      <c r="C199" s="2" t="s">
        <v>2488</v>
      </c>
      <c r="D199" s="5" t="s">
        <v>2490</v>
      </c>
      <c r="E199" s="4" t="s">
        <v>2491</v>
      </c>
      <c r="F199" s="6">
        <v>14221323</v>
      </c>
      <c r="G199" s="3">
        <v>14221323</v>
      </c>
      <c r="H199" s="7">
        <v>194654554542</v>
      </c>
      <c r="I199" s="8" t="s">
        <v>767</v>
      </c>
      <c r="J199" s="4">
        <v>1</v>
      </c>
      <c r="K199" s="9">
        <v>38</v>
      </c>
      <c r="L199" s="9">
        <v>38</v>
      </c>
      <c r="M199" s="4" t="s">
        <v>768</v>
      </c>
      <c r="N199" s="4" t="s">
        <v>2596</v>
      </c>
      <c r="O199" s="4">
        <v>8</v>
      </c>
      <c r="P199" s="4" t="s">
        <v>2510</v>
      </c>
      <c r="Q199" s="4" t="s">
        <v>2549</v>
      </c>
      <c r="R199" s="4"/>
      <c r="S199" s="4"/>
      <c r="T199" s="4"/>
    </row>
    <row r="200" spans="1:20" ht="15" customHeight="1" x14ac:dyDescent="0.25">
      <c r="A200" s="4" t="s">
        <v>2489</v>
      </c>
      <c r="B200" s="2" t="s">
        <v>2487</v>
      </c>
      <c r="C200" s="2" t="s">
        <v>2488</v>
      </c>
      <c r="D200" s="5" t="s">
        <v>2490</v>
      </c>
      <c r="E200" s="4" t="s">
        <v>2491</v>
      </c>
      <c r="F200" s="6">
        <v>14221323</v>
      </c>
      <c r="G200" s="3">
        <v>14221323</v>
      </c>
      <c r="H200" s="7">
        <v>194654549128</v>
      </c>
      <c r="I200" s="8" t="s">
        <v>773</v>
      </c>
      <c r="J200" s="4">
        <v>1</v>
      </c>
      <c r="K200" s="9">
        <v>36</v>
      </c>
      <c r="L200" s="9">
        <v>36</v>
      </c>
      <c r="M200" s="4" t="s">
        <v>774</v>
      </c>
      <c r="N200" s="4" t="s">
        <v>2523</v>
      </c>
      <c r="O200" s="4">
        <v>6</v>
      </c>
      <c r="P200" s="4" t="s">
        <v>2510</v>
      </c>
      <c r="Q200" s="4" t="s">
        <v>2549</v>
      </c>
      <c r="R200" s="4"/>
      <c r="S200" s="4"/>
      <c r="T200" s="4"/>
    </row>
    <row r="201" spans="1:20" ht="15" customHeight="1" x14ac:dyDescent="0.25">
      <c r="A201" s="4" t="s">
        <v>2489</v>
      </c>
      <c r="B201" s="2" t="s">
        <v>2487</v>
      </c>
      <c r="C201" s="2" t="s">
        <v>2488</v>
      </c>
      <c r="D201" s="5" t="s">
        <v>2490</v>
      </c>
      <c r="E201" s="4" t="s">
        <v>2491</v>
      </c>
      <c r="F201" s="6">
        <v>14221323</v>
      </c>
      <c r="G201" s="3">
        <v>14221323</v>
      </c>
      <c r="H201" s="7">
        <v>194654549036</v>
      </c>
      <c r="I201" s="8" t="s">
        <v>2546</v>
      </c>
      <c r="J201" s="4">
        <v>1</v>
      </c>
      <c r="K201" s="9">
        <v>40</v>
      </c>
      <c r="L201" s="9">
        <v>40</v>
      </c>
      <c r="M201" s="4" t="s">
        <v>3267</v>
      </c>
      <c r="N201" s="4" t="s">
        <v>2567</v>
      </c>
      <c r="O201" s="4">
        <v>6</v>
      </c>
      <c r="P201" s="4" t="s">
        <v>2510</v>
      </c>
      <c r="Q201" s="4" t="s">
        <v>2549</v>
      </c>
      <c r="R201" s="4"/>
      <c r="S201" s="4"/>
      <c r="T201" s="4"/>
    </row>
    <row r="202" spans="1:20" ht="15" customHeight="1" x14ac:dyDescent="0.25">
      <c r="A202" s="4" t="s">
        <v>2489</v>
      </c>
      <c r="B202" s="2" t="s">
        <v>2487</v>
      </c>
      <c r="C202" s="2" t="s">
        <v>2488</v>
      </c>
      <c r="D202" s="5" t="s">
        <v>2490</v>
      </c>
      <c r="E202" s="4" t="s">
        <v>2491</v>
      </c>
      <c r="F202" s="6">
        <v>14221323</v>
      </c>
      <c r="G202" s="3">
        <v>14221323</v>
      </c>
      <c r="H202" s="7">
        <v>762120085090</v>
      </c>
      <c r="I202" s="8" t="s">
        <v>765</v>
      </c>
      <c r="J202" s="4">
        <v>1</v>
      </c>
      <c r="K202" s="9">
        <v>7.99</v>
      </c>
      <c r="L202" s="9">
        <v>7.99</v>
      </c>
      <c r="M202" s="4" t="s">
        <v>1586</v>
      </c>
      <c r="N202" s="4" t="s">
        <v>2501</v>
      </c>
      <c r="O202" s="4" t="s">
        <v>2653</v>
      </c>
      <c r="P202" s="4" t="s">
        <v>2602</v>
      </c>
      <c r="Q202" s="4" t="s">
        <v>2528</v>
      </c>
      <c r="R202" s="4"/>
      <c r="S202" s="4"/>
      <c r="T202" s="4" t="str">
        <f>HYPERLINK("http://slimages.macys.com/is/image/MCY/20691798 ")</f>
        <v xml:space="preserve">http://slimages.macys.com/is/image/MCY/20691798 </v>
      </c>
    </row>
    <row r="203" spans="1:20" ht="15" customHeight="1" x14ac:dyDescent="0.25">
      <c r="A203" s="4" t="s">
        <v>2489</v>
      </c>
      <c r="B203" s="2" t="s">
        <v>2487</v>
      </c>
      <c r="C203" s="2" t="s">
        <v>2488</v>
      </c>
      <c r="D203" s="5" t="s">
        <v>2490</v>
      </c>
      <c r="E203" s="4" t="s">
        <v>2491</v>
      </c>
      <c r="F203" s="6">
        <v>14221323</v>
      </c>
      <c r="G203" s="3">
        <v>14221323</v>
      </c>
      <c r="H203" s="7">
        <v>794434360648</v>
      </c>
      <c r="I203" s="8" t="s">
        <v>2414</v>
      </c>
      <c r="J203" s="4">
        <v>13</v>
      </c>
      <c r="K203" s="9">
        <v>12.99</v>
      </c>
      <c r="L203" s="9">
        <v>168.87</v>
      </c>
      <c r="M203" s="4" t="s">
        <v>2415</v>
      </c>
      <c r="N203" s="4" t="s">
        <v>2501</v>
      </c>
      <c r="O203" s="4"/>
      <c r="P203" s="4" t="s">
        <v>2539</v>
      </c>
      <c r="Q203" s="4" t="s">
        <v>2416</v>
      </c>
      <c r="R203" s="4"/>
      <c r="S203" s="4"/>
      <c r="T203" s="4" t="str">
        <f>HYPERLINK("http://slimages.macys.com/is/image/MCY/19971452 ")</f>
        <v xml:space="preserve">http://slimages.macys.com/is/image/MCY/19971452 </v>
      </c>
    </row>
    <row r="204" spans="1:20" ht="15" customHeight="1" x14ac:dyDescent="0.25">
      <c r="A204" s="4" t="s">
        <v>2489</v>
      </c>
      <c r="B204" s="2" t="s">
        <v>2487</v>
      </c>
      <c r="C204" s="2" t="s">
        <v>2488</v>
      </c>
      <c r="D204" s="5" t="s">
        <v>2490</v>
      </c>
      <c r="E204" s="4" t="s">
        <v>2491</v>
      </c>
      <c r="F204" s="6">
        <v>14221323</v>
      </c>
      <c r="G204" s="3">
        <v>14221323</v>
      </c>
      <c r="H204" s="7">
        <v>888133199750</v>
      </c>
      <c r="I204" s="8" t="s">
        <v>50</v>
      </c>
      <c r="J204" s="4">
        <v>1</v>
      </c>
      <c r="K204" s="9">
        <v>62</v>
      </c>
      <c r="L204" s="9">
        <v>62</v>
      </c>
      <c r="M204" s="4" t="s">
        <v>36</v>
      </c>
      <c r="N204" s="4" t="s">
        <v>2497</v>
      </c>
      <c r="O204" s="4" t="s">
        <v>3377</v>
      </c>
      <c r="P204" s="4" t="s">
        <v>2510</v>
      </c>
      <c r="Q204" s="4" t="s">
        <v>3150</v>
      </c>
      <c r="R204" s="4"/>
      <c r="S204" s="4"/>
      <c r="T204" s="4" t="str">
        <f>HYPERLINK("http://slimages.macys.com/is/image/MCY/18144800 ")</f>
        <v xml:space="preserve">http://slimages.macys.com/is/image/MCY/18144800 </v>
      </c>
    </row>
    <row r="205" spans="1:20" ht="15" customHeight="1" x14ac:dyDescent="0.25">
      <c r="A205" s="4" t="s">
        <v>2489</v>
      </c>
      <c r="B205" s="2" t="s">
        <v>2487</v>
      </c>
      <c r="C205" s="2" t="s">
        <v>2488</v>
      </c>
      <c r="D205" s="5" t="s">
        <v>2490</v>
      </c>
      <c r="E205" s="4" t="s">
        <v>2491</v>
      </c>
      <c r="F205" s="6">
        <v>14221323</v>
      </c>
      <c r="G205" s="3">
        <v>14221323</v>
      </c>
      <c r="H205" s="7">
        <v>732999992300</v>
      </c>
      <c r="I205" s="8" t="s">
        <v>2891</v>
      </c>
      <c r="J205" s="4">
        <v>1</v>
      </c>
      <c r="K205" s="9">
        <v>6.99</v>
      </c>
      <c r="L205" s="9">
        <v>6.99</v>
      </c>
      <c r="M205" s="4" t="s">
        <v>2892</v>
      </c>
      <c r="N205" s="4" t="s">
        <v>2505</v>
      </c>
      <c r="O205" s="4" t="s">
        <v>2555</v>
      </c>
      <c r="P205" s="4" t="s">
        <v>2543</v>
      </c>
      <c r="Q205" s="4" t="s">
        <v>2528</v>
      </c>
      <c r="R205" s="4"/>
      <c r="S205" s="4"/>
      <c r="T205" s="4" t="str">
        <f>HYPERLINK("http://slimages.macys.com/is/image/MCY/17688402 ")</f>
        <v xml:space="preserve">http://slimages.macys.com/is/image/MCY/17688402 </v>
      </c>
    </row>
    <row r="206" spans="1:20" ht="15" customHeight="1" x14ac:dyDescent="0.25">
      <c r="A206" s="4" t="s">
        <v>2489</v>
      </c>
      <c r="B206" s="2" t="s">
        <v>2487</v>
      </c>
      <c r="C206" s="2" t="s">
        <v>2488</v>
      </c>
      <c r="D206" s="5" t="s">
        <v>2490</v>
      </c>
      <c r="E206" s="4" t="s">
        <v>2491</v>
      </c>
      <c r="F206" s="6">
        <v>14221323</v>
      </c>
      <c r="G206" s="3">
        <v>14221323</v>
      </c>
      <c r="H206" s="7">
        <v>733002942473</v>
      </c>
      <c r="I206" s="8" t="s">
        <v>1802</v>
      </c>
      <c r="J206" s="4">
        <v>1</v>
      </c>
      <c r="K206" s="9">
        <v>6.99</v>
      </c>
      <c r="L206" s="9">
        <v>6.99</v>
      </c>
      <c r="M206" s="4" t="s">
        <v>2976</v>
      </c>
      <c r="N206" s="4" t="s">
        <v>2508</v>
      </c>
      <c r="O206" s="4" t="s">
        <v>2519</v>
      </c>
      <c r="P206" s="4" t="s">
        <v>2520</v>
      </c>
      <c r="Q206" s="4" t="s">
        <v>2521</v>
      </c>
      <c r="R206" s="4"/>
      <c r="S206" s="4"/>
      <c r="T206" s="4" t="str">
        <f>HYPERLINK("http://slimages.macys.com/is/image/MCY/19254522 ")</f>
        <v xml:space="preserve">http://slimages.macys.com/is/image/MCY/19254522 </v>
      </c>
    </row>
    <row r="207" spans="1:20" ht="15" customHeight="1" x14ac:dyDescent="0.25">
      <c r="A207" s="4" t="s">
        <v>2489</v>
      </c>
      <c r="B207" s="2" t="s">
        <v>2487</v>
      </c>
      <c r="C207" s="2" t="s">
        <v>2488</v>
      </c>
      <c r="D207" s="5" t="s">
        <v>2490</v>
      </c>
      <c r="E207" s="4" t="s">
        <v>2491</v>
      </c>
      <c r="F207" s="6">
        <v>14221323</v>
      </c>
      <c r="G207" s="3">
        <v>14221323</v>
      </c>
      <c r="H207" s="7">
        <v>762120020145</v>
      </c>
      <c r="I207" s="8" t="s">
        <v>1255</v>
      </c>
      <c r="J207" s="4">
        <v>2</v>
      </c>
      <c r="K207" s="9">
        <v>6.99</v>
      </c>
      <c r="L207" s="9">
        <v>13.98</v>
      </c>
      <c r="M207" s="4" t="s">
        <v>3235</v>
      </c>
      <c r="N207" s="4" t="s">
        <v>2638</v>
      </c>
      <c r="O207" s="4" t="s">
        <v>2559</v>
      </c>
      <c r="P207" s="4" t="s">
        <v>2503</v>
      </c>
      <c r="Q207" s="4" t="s">
        <v>2504</v>
      </c>
      <c r="R207" s="4"/>
      <c r="S207" s="4"/>
      <c r="T207" s="4" t="str">
        <f>HYPERLINK("http://slimages.macys.com/is/image/MCY/20436495 ")</f>
        <v xml:space="preserve">http://slimages.macys.com/is/image/MCY/20436495 </v>
      </c>
    </row>
    <row r="208" spans="1:20" ht="15" customHeight="1" x14ac:dyDescent="0.25">
      <c r="A208" s="4" t="s">
        <v>2489</v>
      </c>
      <c r="B208" s="2" t="s">
        <v>2487</v>
      </c>
      <c r="C208" s="2" t="s">
        <v>2488</v>
      </c>
      <c r="D208" s="5" t="s">
        <v>2490</v>
      </c>
      <c r="E208" s="4" t="s">
        <v>2491</v>
      </c>
      <c r="F208" s="6">
        <v>14221323</v>
      </c>
      <c r="G208" s="3">
        <v>14221323</v>
      </c>
      <c r="H208" s="7">
        <v>733003706135</v>
      </c>
      <c r="I208" s="8" t="s">
        <v>51</v>
      </c>
      <c r="J208" s="4">
        <v>3</v>
      </c>
      <c r="K208" s="9">
        <v>22.99</v>
      </c>
      <c r="L208" s="9">
        <v>68.97</v>
      </c>
      <c r="M208" s="4" t="s">
        <v>760</v>
      </c>
      <c r="N208" s="4" t="s">
        <v>2497</v>
      </c>
      <c r="O208" s="4" t="s">
        <v>2628</v>
      </c>
      <c r="P208" s="4" t="s">
        <v>2602</v>
      </c>
      <c r="Q208" s="4" t="s">
        <v>2528</v>
      </c>
      <c r="R208" s="4"/>
      <c r="S208" s="4"/>
      <c r="T208" s="4" t="str">
        <f>HYPERLINK("http://slimages.macys.com/is/image/MCY/19632125 ")</f>
        <v xml:space="preserve">http://slimages.macys.com/is/image/MCY/19632125 </v>
      </c>
    </row>
    <row r="209" spans="1:20" ht="15" customHeight="1" x14ac:dyDescent="0.25">
      <c r="A209" s="4" t="s">
        <v>2489</v>
      </c>
      <c r="B209" s="2" t="s">
        <v>2487</v>
      </c>
      <c r="C209" s="2" t="s">
        <v>2488</v>
      </c>
      <c r="D209" s="5" t="s">
        <v>2490</v>
      </c>
      <c r="E209" s="4" t="s">
        <v>2491</v>
      </c>
      <c r="F209" s="6">
        <v>14221323</v>
      </c>
      <c r="G209" s="3">
        <v>14221323</v>
      </c>
      <c r="H209" s="7">
        <v>733004722820</v>
      </c>
      <c r="I209" s="8" t="s">
        <v>2086</v>
      </c>
      <c r="J209" s="4">
        <v>1</v>
      </c>
      <c r="K209" s="9">
        <v>25.99</v>
      </c>
      <c r="L209" s="9">
        <v>25.99</v>
      </c>
      <c r="M209" s="4" t="s">
        <v>3193</v>
      </c>
      <c r="N209" s="4" t="s">
        <v>2530</v>
      </c>
      <c r="O209" s="4"/>
      <c r="P209" s="4" t="s">
        <v>2503</v>
      </c>
      <c r="Q209" s="4" t="s">
        <v>2504</v>
      </c>
      <c r="R209" s="4"/>
      <c r="S209" s="4"/>
      <c r="T209" s="4" t="str">
        <f>HYPERLINK("http://slimages.macys.com/is/image/MCY/19977902 ")</f>
        <v xml:space="preserve">http://slimages.macys.com/is/image/MCY/19977902 </v>
      </c>
    </row>
    <row r="210" spans="1:20" ht="15" customHeight="1" x14ac:dyDescent="0.25">
      <c r="A210" s="4" t="s">
        <v>2489</v>
      </c>
      <c r="B210" s="2" t="s">
        <v>2487</v>
      </c>
      <c r="C210" s="2" t="s">
        <v>2488</v>
      </c>
      <c r="D210" s="5" t="s">
        <v>2490</v>
      </c>
      <c r="E210" s="4" t="s">
        <v>2491</v>
      </c>
      <c r="F210" s="6">
        <v>14221323</v>
      </c>
      <c r="G210" s="3">
        <v>14221323</v>
      </c>
      <c r="H210" s="7">
        <v>194257518774</v>
      </c>
      <c r="I210" s="8" t="s">
        <v>52</v>
      </c>
      <c r="J210" s="4">
        <v>1</v>
      </c>
      <c r="K210" s="9">
        <v>8.25</v>
      </c>
      <c r="L210" s="9">
        <v>8.25</v>
      </c>
      <c r="M210" s="4" t="s">
        <v>3274</v>
      </c>
      <c r="N210" s="4" t="s">
        <v>2514</v>
      </c>
      <c r="O210" s="4" t="s">
        <v>2653</v>
      </c>
      <c r="P210" s="4" t="s">
        <v>2619</v>
      </c>
      <c r="Q210" s="4" t="s">
        <v>2654</v>
      </c>
      <c r="R210" s="4"/>
      <c r="S210" s="4"/>
      <c r="T210" s="4" t="str">
        <f>HYPERLINK("http://slimages.macys.com/is/image/MCY/20099679 ")</f>
        <v xml:space="preserve">http://slimages.macys.com/is/image/MCY/20099679 </v>
      </c>
    </row>
    <row r="211" spans="1:20" ht="15" customHeight="1" x14ac:dyDescent="0.25">
      <c r="A211" s="4" t="s">
        <v>2489</v>
      </c>
      <c r="B211" s="2" t="s">
        <v>2487</v>
      </c>
      <c r="C211" s="2" t="s">
        <v>2488</v>
      </c>
      <c r="D211" s="5" t="s">
        <v>2490</v>
      </c>
      <c r="E211" s="4" t="s">
        <v>2491</v>
      </c>
      <c r="F211" s="6">
        <v>14221323</v>
      </c>
      <c r="G211" s="3">
        <v>14221323</v>
      </c>
      <c r="H211" s="7">
        <v>733003643607</v>
      </c>
      <c r="I211" s="8" t="s">
        <v>3251</v>
      </c>
      <c r="J211" s="4">
        <v>2</v>
      </c>
      <c r="K211" s="9">
        <v>18.989999999999998</v>
      </c>
      <c r="L211" s="9">
        <v>37.979999999999997</v>
      </c>
      <c r="M211" s="4" t="s">
        <v>2984</v>
      </c>
      <c r="N211" s="4" t="s">
        <v>2567</v>
      </c>
      <c r="O211" s="4" t="s">
        <v>2650</v>
      </c>
      <c r="P211" s="4" t="s">
        <v>2515</v>
      </c>
      <c r="Q211" s="4" t="s">
        <v>2972</v>
      </c>
      <c r="R211" s="4"/>
      <c r="S211" s="4"/>
      <c r="T211" s="4" t="str">
        <f>HYPERLINK("http://slimages.macys.com/is/image/MCY/20008203 ")</f>
        <v xml:space="preserve">http://slimages.macys.com/is/image/MCY/20008203 </v>
      </c>
    </row>
    <row r="212" spans="1:20" ht="15" customHeight="1" x14ac:dyDescent="0.25">
      <c r="A212" s="4" t="s">
        <v>2489</v>
      </c>
      <c r="B212" s="2" t="s">
        <v>2487</v>
      </c>
      <c r="C212" s="2" t="s">
        <v>2488</v>
      </c>
      <c r="D212" s="5" t="s">
        <v>2490</v>
      </c>
      <c r="E212" s="4" t="s">
        <v>2491</v>
      </c>
      <c r="F212" s="6">
        <v>14221323</v>
      </c>
      <c r="G212" s="3">
        <v>14221323</v>
      </c>
      <c r="H212" s="7">
        <v>733004729256</v>
      </c>
      <c r="I212" s="8" t="s">
        <v>53</v>
      </c>
      <c r="J212" s="4">
        <v>1</v>
      </c>
      <c r="K212" s="9">
        <v>11.99</v>
      </c>
      <c r="L212" s="9">
        <v>11.99</v>
      </c>
      <c r="M212" s="4" t="s">
        <v>1411</v>
      </c>
      <c r="N212" s="4" t="s">
        <v>2747</v>
      </c>
      <c r="O212" s="4" t="s">
        <v>2555</v>
      </c>
      <c r="P212" s="4" t="s">
        <v>2520</v>
      </c>
      <c r="Q212" s="4" t="s">
        <v>2521</v>
      </c>
      <c r="R212" s="4"/>
      <c r="S212" s="4"/>
      <c r="T212" s="4" t="str">
        <f>HYPERLINK("http://slimages.macys.com/is/image/MCY/20433920 ")</f>
        <v xml:space="preserve">http://slimages.macys.com/is/image/MCY/20433920 </v>
      </c>
    </row>
    <row r="213" spans="1:20" ht="15" customHeight="1" x14ac:dyDescent="0.25">
      <c r="A213" s="4" t="s">
        <v>2489</v>
      </c>
      <c r="B213" s="2" t="s">
        <v>2487</v>
      </c>
      <c r="C213" s="2" t="s">
        <v>2488</v>
      </c>
      <c r="D213" s="5" t="s">
        <v>2490</v>
      </c>
      <c r="E213" s="4" t="s">
        <v>2491</v>
      </c>
      <c r="F213" s="6">
        <v>14221323</v>
      </c>
      <c r="G213" s="3">
        <v>14221323</v>
      </c>
      <c r="H213" s="7">
        <v>733004746086</v>
      </c>
      <c r="I213" s="8" t="s">
        <v>54</v>
      </c>
      <c r="J213" s="4">
        <v>1</v>
      </c>
      <c r="K213" s="9">
        <v>6.99</v>
      </c>
      <c r="L213" s="9">
        <v>6.99</v>
      </c>
      <c r="M213" s="4" t="s">
        <v>3101</v>
      </c>
      <c r="N213" s="4" t="s">
        <v>2505</v>
      </c>
      <c r="O213" s="4" t="s">
        <v>2559</v>
      </c>
      <c r="P213" s="4" t="s">
        <v>2503</v>
      </c>
      <c r="Q213" s="4" t="s">
        <v>2504</v>
      </c>
      <c r="R213" s="4"/>
      <c r="S213" s="4"/>
      <c r="T213" s="4" t="str">
        <f>HYPERLINK("http://slimages.macys.com/is/image/MCY/19977345 ")</f>
        <v xml:space="preserve">http://slimages.macys.com/is/image/MCY/19977345 </v>
      </c>
    </row>
    <row r="214" spans="1:20" ht="15" customHeight="1" x14ac:dyDescent="0.25">
      <c r="A214" s="4" t="s">
        <v>2489</v>
      </c>
      <c r="B214" s="2" t="s">
        <v>2487</v>
      </c>
      <c r="C214" s="2" t="s">
        <v>2488</v>
      </c>
      <c r="D214" s="5" t="s">
        <v>2490</v>
      </c>
      <c r="E214" s="4" t="s">
        <v>2491</v>
      </c>
      <c r="F214" s="6">
        <v>14221323</v>
      </c>
      <c r="G214" s="3">
        <v>14221323</v>
      </c>
      <c r="H214" s="7">
        <v>733003735388</v>
      </c>
      <c r="I214" s="8" t="s">
        <v>2827</v>
      </c>
      <c r="J214" s="4">
        <v>1</v>
      </c>
      <c r="K214" s="9">
        <v>21.99</v>
      </c>
      <c r="L214" s="9">
        <v>21.99</v>
      </c>
      <c r="M214" s="4" t="s">
        <v>2828</v>
      </c>
      <c r="N214" s="4"/>
      <c r="O214" s="4" t="s">
        <v>2555</v>
      </c>
      <c r="P214" s="4" t="s">
        <v>2543</v>
      </c>
      <c r="Q214" s="4" t="s">
        <v>2528</v>
      </c>
      <c r="R214" s="4"/>
      <c r="S214" s="4"/>
      <c r="T214" s="4" t="str">
        <f>HYPERLINK("http://slimages.macys.com/is/image/MCY/19631905 ")</f>
        <v xml:space="preserve">http://slimages.macys.com/is/image/MCY/19631905 </v>
      </c>
    </row>
    <row r="215" spans="1:20" ht="15" customHeight="1" x14ac:dyDescent="0.25">
      <c r="A215" s="4" t="s">
        <v>2489</v>
      </c>
      <c r="B215" s="2" t="s">
        <v>2487</v>
      </c>
      <c r="C215" s="2" t="s">
        <v>2488</v>
      </c>
      <c r="D215" s="5" t="s">
        <v>2490</v>
      </c>
      <c r="E215" s="4" t="s">
        <v>2491</v>
      </c>
      <c r="F215" s="6">
        <v>14221323</v>
      </c>
      <c r="G215" s="3">
        <v>14221323</v>
      </c>
      <c r="H215" s="7">
        <v>762120020268</v>
      </c>
      <c r="I215" s="8" t="s">
        <v>2186</v>
      </c>
      <c r="J215" s="4">
        <v>3</v>
      </c>
      <c r="K215" s="9">
        <v>6.99</v>
      </c>
      <c r="L215" s="9">
        <v>20.97</v>
      </c>
      <c r="M215" s="4" t="s">
        <v>3235</v>
      </c>
      <c r="N215" s="4" t="s">
        <v>2565</v>
      </c>
      <c r="O215" s="4" t="s">
        <v>2566</v>
      </c>
      <c r="P215" s="4" t="s">
        <v>2503</v>
      </c>
      <c r="Q215" s="4" t="s">
        <v>2504</v>
      </c>
      <c r="R215" s="4"/>
      <c r="S215" s="4"/>
      <c r="T215" s="4" t="str">
        <f>HYPERLINK("http://slimages.macys.com/is/image/MCY/20436495 ")</f>
        <v xml:space="preserve">http://slimages.macys.com/is/image/MCY/20436495 </v>
      </c>
    </row>
    <row r="216" spans="1:20" ht="15" customHeight="1" x14ac:dyDescent="0.25">
      <c r="A216" s="4" t="s">
        <v>2489</v>
      </c>
      <c r="B216" s="2" t="s">
        <v>2487</v>
      </c>
      <c r="C216" s="2" t="s">
        <v>2488</v>
      </c>
      <c r="D216" s="5" t="s">
        <v>2490</v>
      </c>
      <c r="E216" s="4" t="s">
        <v>2491</v>
      </c>
      <c r="F216" s="6">
        <v>14221323</v>
      </c>
      <c r="G216" s="3">
        <v>14221323</v>
      </c>
      <c r="H216" s="7">
        <v>733004747731</v>
      </c>
      <c r="I216" s="8" t="s">
        <v>55</v>
      </c>
      <c r="J216" s="4">
        <v>1</v>
      </c>
      <c r="K216" s="9">
        <v>6.99</v>
      </c>
      <c r="L216" s="9">
        <v>6.99</v>
      </c>
      <c r="M216" s="4" t="s">
        <v>2947</v>
      </c>
      <c r="N216" s="4" t="s">
        <v>2505</v>
      </c>
      <c r="O216" s="4" t="s">
        <v>2566</v>
      </c>
      <c r="P216" s="4" t="s">
        <v>2503</v>
      </c>
      <c r="Q216" s="4" t="s">
        <v>2504</v>
      </c>
      <c r="R216" s="4"/>
      <c r="S216" s="4"/>
      <c r="T216" s="4" t="str">
        <f>HYPERLINK("http://slimages.macys.com/is/image/MCY/19977344 ")</f>
        <v xml:space="preserve">http://slimages.macys.com/is/image/MCY/19977344 </v>
      </c>
    </row>
    <row r="217" spans="1:20" ht="15" customHeight="1" x14ac:dyDescent="0.25">
      <c r="A217" s="4" t="s">
        <v>2489</v>
      </c>
      <c r="B217" s="2" t="s">
        <v>2487</v>
      </c>
      <c r="C217" s="2" t="s">
        <v>2488</v>
      </c>
      <c r="D217" s="5" t="s">
        <v>2490</v>
      </c>
      <c r="E217" s="4" t="s">
        <v>2491</v>
      </c>
      <c r="F217" s="6">
        <v>14221323</v>
      </c>
      <c r="G217" s="3">
        <v>14221323</v>
      </c>
      <c r="H217" s="7">
        <v>677838700916</v>
      </c>
      <c r="I217" s="8" t="s">
        <v>56</v>
      </c>
      <c r="J217" s="4">
        <v>1</v>
      </c>
      <c r="K217" s="9">
        <v>69.989999999999995</v>
      </c>
      <c r="L217" s="9">
        <v>69.989999999999995</v>
      </c>
      <c r="M217" s="4" t="s">
        <v>57</v>
      </c>
      <c r="N217" s="4" t="s">
        <v>2535</v>
      </c>
      <c r="O217" s="4" t="s">
        <v>2498</v>
      </c>
      <c r="P217" s="4" t="s">
        <v>2499</v>
      </c>
      <c r="Q217" s="4" t="s">
        <v>2752</v>
      </c>
      <c r="R217" s="4"/>
      <c r="S217" s="4"/>
      <c r="T217" s="4" t="str">
        <f>HYPERLINK("http://slimages.macys.com/is/image/MCY/18539758 ")</f>
        <v xml:space="preserve">http://slimages.macys.com/is/image/MCY/18539758 </v>
      </c>
    </row>
    <row r="218" spans="1:20" ht="15" customHeight="1" x14ac:dyDescent="0.25">
      <c r="A218" s="4" t="s">
        <v>2489</v>
      </c>
      <c r="B218" s="2" t="s">
        <v>2487</v>
      </c>
      <c r="C218" s="2" t="s">
        <v>2488</v>
      </c>
      <c r="D218" s="5" t="s">
        <v>2490</v>
      </c>
      <c r="E218" s="4" t="s">
        <v>2491</v>
      </c>
      <c r="F218" s="6">
        <v>14221323</v>
      </c>
      <c r="G218" s="3">
        <v>14221323</v>
      </c>
      <c r="H218" s="7">
        <v>9357067472730</v>
      </c>
      <c r="I218" s="8" t="s">
        <v>58</v>
      </c>
      <c r="J218" s="4">
        <v>1</v>
      </c>
      <c r="K218" s="9">
        <v>14.99</v>
      </c>
      <c r="L218" s="9">
        <v>14.99</v>
      </c>
      <c r="M218" s="4" t="s">
        <v>59</v>
      </c>
      <c r="N218" s="4" t="s">
        <v>2567</v>
      </c>
      <c r="O218" s="4">
        <v>7</v>
      </c>
      <c r="P218" s="4" t="s">
        <v>2556</v>
      </c>
      <c r="Q218" s="4" t="s">
        <v>2908</v>
      </c>
      <c r="R218" s="4"/>
      <c r="S218" s="4"/>
      <c r="T218" s="4" t="str">
        <f>HYPERLINK("http://slimages.macys.com/is/image/MCY/18665177 ")</f>
        <v xml:space="preserve">http://slimages.macys.com/is/image/MCY/18665177 </v>
      </c>
    </row>
    <row r="219" spans="1:20" ht="15" customHeight="1" x14ac:dyDescent="0.25">
      <c r="A219" s="4" t="s">
        <v>2489</v>
      </c>
      <c r="B219" s="2" t="s">
        <v>2487</v>
      </c>
      <c r="C219" s="2" t="s">
        <v>2488</v>
      </c>
      <c r="D219" s="5" t="s">
        <v>2490</v>
      </c>
      <c r="E219" s="4" t="s">
        <v>2491</v>
      </c>
      <c r="F219" s="6">
        <v>14221323</v>
      </c>
      <c r="G219" s="3">
        <v>14221323</v>
      </c>
      <c r="H219" s="7">
        <v>733004088544</v>
      </c>
      <c r="I219" s="8" t="s">
        <v>3098</v>
      </c>
      <c r="J219" s="4">
        <v>2</v>
      </c>
      <c r="K219" s="9">
        <v>7.99</v>
      </c>
      <c r="L219" s="9">
        <v>15.98</v>
      </c>
      <c r="M219" s="4" t="s">
        <v>2802</v>
      </c>
      <c r="N219" s="4" t="s">
        <v>2561</v>
      </c>
      <c r="O219" s="4">
        <v>5</v>
      </c>
      <c r="P219" s="4" t="s">
        <v>2602</v>
      </c>
      <c r="Q219" s="4" t="s">
        <v>2528</v>
      </c>
      <c r="R219" s="4"/>
      <c r="S219" s="4"/>
      <c r="T219" s="4" t="str">
        <f>HYPERLINK("http://slimages.macys.com/is/image/MCY/19988224 ")</f>
        <v xml:space="preserve">http://slimages.macys.com/is/image/MCY/19988224 </v>
      </c>
    </row>
    <row r="220" spans="1:20" ht="15" customHeight="1" x14ac:dyDescent="0.25">
      <c r="A220" s="4" t="s">
        <v>2489</v>
      </c>
      <c r="B220" s="2" t="s">
        <v>2487</v>
      </c>
      <c r="C220" s="2" t="s">
        <v>2488</v>
      </c>
      <c r="D220" s="5" t="s">
        <v>2490</v>
      </c>
      <c r="E220" s="4" t="s">
        <v>2491</v>
      </c>
      <c r="F220" s="6">
        <v>14221323</v>
      </c>
      <c r="G220" s="3">
        <v>14221323</v>
      </c>
      <c r="H220" s="7">
        <v>762120087360</v>
      </c>
      <c r="I220" s="8" t="s">
        <v>60</v>
      </c>
      <c r="J220" s="4">
        <v>1</v>
      </c>
      <c r="K220" s="9">
        <v>7.99</v>
      </c>
      <c r="L220" s="9">
        <v>7.99</v>
      </c>
      <c r="M220" s="4" t="s">
        <v>3118</v>
      </c>
      <c r="N220" s="4" t="s">
        <v>2497</v>
      </c>
      <c r="O220" s="4" t="s">
        <v>2650</v>
      </c>
      <c r="P220" s="4" t="s">
        <v>2602</v>
      </c>
      <c r="Q220" s="4" t="s">
        <v>2528</v>
      </c>
      <c r="R220" s="4"/>
      <c r="S220" s="4"/>
      <c r="T220" s="4" t="str">
        <f>HYPERLINK("http://slimages.macys.com/is/image/MCY/20691897 ")</f>
        <v xml:space="preserve">http://slimages.macys.com/is/image/MCY/20691897 </v>
      </c>
    </row>
    <row r="221" spans="1:20" ht="15" customHeight="1" x14ac:dyDescent="0.25">
      <c r="A221" s="4" t="s">
        <v>2489</v>
      </c>
      <c r="B221" s="2" t="s">
        <v>2487</v>
      </c>
      <c r="C221" s="2" t="s">
        <v>2488</v>
      </c>
      <c r="D221" s="5" t="s">
        <v>2490</v>
      </c>
      <c r="E221" s="4" t="s">
        <v>2491</v>
      </c>
      <c r="F221" s="6">
        <v>14221323</v>
      </c>
      <c r="G221" s="3">
        <v>14221323</v>
      </c>
      <c r="H221" s="7">
        <v>733004780080</v>
      </c>
      <c r="I221" s="8" t="s">
        <v>2071</v>
      </c>
      <c r="J221" s="4">
        <v>2</v>
      </c>
      <c r="K221" s="9">
        <v>7.99</v>
      </c>
      <c r="L221" s="9">
        <v>15.98</v>
      </c>
      <c r="M221" s="4" t="s">
        <v>2692</v>
      </c>
      <c r="N221" s="4" t="s">
        <v>2501</v>
      </c>
      <c r="O221" s="4" t="s">
        <v>2629</v>
      </c>
      <c r="P221" s="4" t="s">
        <v>2602</v>
      </c>
      <c r="Q221" s="4" t="s">
        <v>2528</v>
      </c>
      <c r="R221" s="4"/>
      <c r="S221" s="4"/>
      <c r="T221" s="4" t="str">
        <f>HYPERLINK("http://slimages.macys.com/is/image/MCY/20450163 ")</f>
        <v xml:space="preserve">http://slimages.macys.com/is/image/MCY/20450163 </v>
      </c>
    </row>
    <row r="222" spans="1:20" ht="15" customHeight="1" x14ac:dyDescent="0.25">
      <c r="A222" s="4" t="s">
        <v>2489</v>
      </c>
      <c r="B222" s="2" t="s">
        <v>2487</v>
      </c>
      <c r="C222" s="2" t="s">
        <v>2488</v>
      </c>
      <c r="D222" s="5" t="s">
        <v>2490</v>
      </c>
      <c r="E222" s="4" t="s">
        <v>2491</v>
      </c>
      <c r="F222" s="6">
        <v>14221323</v>
      </c>
      <c r="G222" s="3">
        <v>14221323</v>
      </c>
      <c r="H222" s="7">
        <v>195883922966</v>
      </c>
      <c r="I222" s="8" t="s">
        <v>1622</v>
      </c>
      <c r="J222" s="4">
        <v>1</v>
      </c>
      <c r="K222" s="9">
        <v>8.31</v>
      </c>
      <c r="L222" s="9">
        <v>8.31</v>
      </c>
      <c r="M222" s="4" t="s">
        <v>3158</v>
      </c>
      <c r="N222" s="4" t="s">
        <v>2508</v>
      </c>
      <c r="O222" s="4">
        <v>3</v>
      </c>
      <c r="P222" s="4" t="s">
        <v>2506</v>
      </c>
      <c r="Q222" s="4" t="s">
        <v>2527</v>
      </c>
      <c r="R222" s="4"/>
      <c r="S222" s="4"/>
      <c r="T222" s="4" t="str">
        <f>HYPERLINK("http://slimages.macys.com/is/image/MCY/20905077 ")</f>
        <v xml:space="preserve">http://slimages.macys.com/is/image/MCY/20905077 </v>
      </c>
    </row>
    <row r="223" spans="1:20" ht="15" customHeight="1" x14ac:dyDescent="0.25">
      <c r="A223" s="4" t="s">
        <v>2489</v>
      </c>
      <c r="B223" s="2" t="s">
        <v>2487</v>
      </c>
      <c r="C223" s="2" t="s">
        <v>2488</v>
      </c>
      <c r="D223" s="5" t="s">
        <v>2490</v>
      </c>
      <c r="E223" s="4" t="s">
        <v>2491</v>
      </c>
      <c r="F223" s="6">
        <v>14221323</v>
      </c>
      <c r="G223" s="3">
        <v>14221323</v>
      </c>
      <c r="H223" s="7">
        <v>733004780219</v>
      </c>
      <c r="I223" s="8" t="s">
        <v>1561</v>
      </c>
      <c r="J223" s="4">
        <v>1</v>
      </c>
      <c r="K223" s="9">
        <v>7.99</v>
      </c>
      <c r="L223" s="9">
        <v>7.99</v>
      </c>
      <c r="M223" s="4" t="s">
        <v>3149</v>
      </c>
      <c r="N223" s="4" t="s">
        <v>2638</v>
      </c>
      <c r="O223" s="4" t="s">
        <v>2628</v>
      </c>
      <c r="P223" s="4" t="s">
        <v>2602</v>
      </c>
      <c r="Q223" s="4" t="s">
        <v>2528</v>
      </c>
      <c r="R223" s="4"/>
      <c r="S223" s="4"/>
      <c r="T223" s="4" t="str">
        <f>HYPERLINK("http://slimages.macys.com/is/image/MCY/20450168 ")</f>
        <v xml:space="preserve">http://slimages.macys.com/is/image/MCY/20450168 </v>
      </c>
    </row>
    <row r="224" spans="1:20" ht="15" customHeight="1" x14ac:dyDescent="0.25">
      <c r="A224" s="4" t="s">
        <v>2489</v>
      </c>
      <c r="B224" s="2" t="s">
        <v>2487</v>
      </c>
      <c r="C224" s="2" t="s">
        <v>2488</v>
      </c>
      <c r="D224" s="5" t="s">
        <v>2490</v>
      </c>
      <c r="E224" s="4" t="s">
        <v>2491</v>
      </c>
      <c r="F224" s="6">
        <v>14221323</v>
      </c>
      <c r="G224" s="3">
        <v>14221323</v>
      </c>
      <c r="H224" s="7">
        <v>733003705831</v>
      </c>
      <c r="I224" s="8" t="s">
        <v>2904</v>
      </c>
      <c r="J224" s="4">
        <v>1</v>
      </c>
      <c r="K224" s="9">
        <v>22.99</v>
      </c>
      <c r="L224" s="9">
        <v>22.99</v>
      </c>
      <c r="M224" s="4" t="s">
        <v>2794</v>
      </c>
      <c r="N224" s="4"/>
      <c r="O224" s="4" t="s">
        <v>2628</v>
      </c>
      <c r="P224" s="4" t="s">
        <v>2602</v>
      </c>
      <c r="Q224" s="4" t="s">
        <v>2528</v>
      </c>
      <c r="R224" s="4"/>
      <c r="S224" s="4"/>
      <c r="T224" s="4" t="str">
        <f>HYPERLINK("http://slimages.macys.com/is/image/MCY/19632125 ")</f>
        <v xml:space="preserve">http://slimages.macys.com/is/image/MCY/19632125 </v>
      </c>
    </row>
    <row r="225" spans="1:20" ht="15" customHeight="1" x14ac:dyDescent="0.25">
      <c r="A225" s="4" t="s">
        <v>2489</v>
      </c>
      <c r="B225" s="2" t="s">
        <v>2487</v>
      </c>
      <c r="C225" s="2" t="s">
        <v>2488</v>
      </c>
      <c r="D225" s="5" t="s">
        <v>2490</v>
      </c>
      <c r="E225" s="4" t="s">
        <v>2491</v>
      </c>
      <c r="F225" s="6">
        <v>14221323</v>
      </c>
      <c r="G225" s="3">
        <v>14221323</v>
      </c>
      <c r="H225" s="7">
        <v>733003706104</v>
      </c>
      <c r="I225" s="8" t="s">
        <v>61</v>
      </c>
      <c r="J225" s="4">
        <v>1</v>
      </c>
      <c r="K225" s="9">
        <v>22.99</v>
      </c>
      <c r="L225" s="9">
        <v>22.99</v>
      </c>
      <c r="M225" s="4" t="s">
        <v>760</v>
      </c>
      <c r="N225" s="4" t="s">
        <v>2497</v>
      </c>
      <c r="O225" s="4">
        <v>6</v>
      </c>
      <c r="P225" s="4" t="s">
        <v>2602</v>
      </c>
      <c r="Q225" s="4" t="s">
        <v>2528</v>
      </c>
      <c r="R225" s="4"/>
      <c r="S225" s="4"/>
      <c r="T225" s="4" t="str">
        <f>HYPERLINK("http://slimages.macys.com/is/image/MCY/19632121 ")</f>
        <v xml:space="preserve">http://slimages.macys.com/is/image/MCY/19632121 </v>
      </c>
    </row>
    <row r="226" spans="1:20" ht="15" customHeight="1" x14ac:dyDescent="0.25">
      <c r="A226" s="4" t="s">
        <v>2489</v>
      </c>
      <c r="B226" s="2" t="s">
        <v>2487</v>
      </c>
      <c r="C226" s="2" t="s">
        <v>2488</v>
      </c>
      <c r="D226" s="5" t="s">
        <v>2490</v>
      </c>
      <c r="E226" s="4" t="s">
        <v>2491</v>
      </c>
      <c r="F226" s="6">
        <v>14221323</v>
      </c>
      <c r="G226" s="3">
        <v>14221323</v>
      </c>
      <c r="H226" s="7">
        <v>762120113052</v>
      </c>
      <c r="I226" s="8" t="s">
        <v>3311</v>
      </c>
      <c r="J226" s="4">
        <v>2</v>
      </c>
      <c r="K226" s="9">
        <v>6.99</v>
      </c>
      <c r="L226" s="9">
        <v>13.98</v>
      </c>
      <c r="M226" s="4" t="s">
        <v>3270</v>
      </c>
      <c r="N226" s="4" t="s">
        <v>2518</v>
      </c>
      <c r="O226" s="4" t="s">
        <v>2493</v>
      </c>
      <c r="P226" s="4" t="s">
        <v>2503</v>
      </c>
      <c r="Q226" s="4" t="s">
        <v>2504</v>
      </c>
      <c r="R226" s="4"/>
      <c r="S226" s="4"/>
      <c r="T226" s="4" t="str">
        <f>HYPERLINK("http://slimages.macys.com/is/image/MCY/19977414 ")</f>
        <v xml:space="preserve">http://slimages.macys.com/is/image/MCY/19977414 </v>
      </c>
    </row>
    <row r="227" spans="1:20" ht="15" customHeight="1" x14ac:dyDescent="0.25">
      <c r="A227" s="4" t="s">
        <v>2489</v>
      </c>
      <c r="B227" s="2" t="s">
        <v>2487</v>
      </c>
      <c r="C227" s="2" t="s">
        <v>2488</v>
      </c>
      <c r="D227" s="5" t="s">
        <v>2490</v>
      </c>
      <c r="E227" s="4" t="s">
        <v>2491</v>
      </c>
      <c r="F227" s="6">
        <v>14221323</v>
      </c>
      <c r="G227" s="3">
        <v>14221323</v>
      </c>
      <c r="H227" s="7">
        <v>194654553552</v>
      </c>
      <c r="I227" s="8" t="s">
        <v>2546</v>
      </c>
      <c r="J227" s="4">
        <v>1</v>
      </c>
      <c r="K227" s="9">
        <v>40</v>
      </c>
      <c r="L227" s="9">
        <v>40</v>
      </c>
      <c r="M227" s="4" t="s">
        <v>2547</v>
      </c>
      <c r="N227" s="4" t="s">
        <v>2548</v>
      </c>
      <c r="O227" s="4">
        <v>8</v>
      </c>
      <c r="P227" s="4" t="s">
        <v>2510</v>
      </c>
      <c r="Q227" s="4" t="s">
        <v>2549</v>
      </c>
      <c r="R227" s="4"/>
      <c r="S227" s="4"/>
      <c r="T227" s="4"/>
    </row>
    <row r="228" spans="1:20" ht="15" customHeight="1" x14ac:dyDescent="0.25">
      <c r="A228" s="4" t="s">
        <v>2489</v>
      </c>
      <c r="B228" s="2" t="s">
        <v>2487</v>
      </c>
      <c r="C228" s="2" t="s">
        <v>2488</v>
      </c>
      <c r="D228" s="5" t="s">
        <v>2490</v>
      </c>
      <c r="E228" s="4" t="s">
        <v>2491</v>
      </c>
      <c r="F228" s="6">
        <v>14221323</v>
      </c>
      <c r="G228" s="3">
        <v>14221323</v>
      </c>
      <c r="H228" s="7">
        <v>194654549098</v>
      </c>
      <c r="I228" s="8" t="s">
        <v>2546</v>
      </c>
      <c r="J228" s="4">
        <v>1</v>
      </c>
      <c r="K228" s="9">
        <v>40</v>
      </c>
      <c r="L228" s="9">
        <v>40</v>
      </c>
      <c r="M228" s="4" t="s">
        <v>3267</v>
      </c>
      <c r="N228" s="4" t="s">
        <v>2567</v>
      </c>
      <c r="O228" s="4">
        <v>12</v>
      </c>
      <c r="P228" s="4" t="s">
        <v>2510</v>
      </c>
      <c r="Q228" s="4" t="s">
        <v>2549</v>
      </c>
      <c r="R228" s="4"/>
      <c r="S228" s="4"/>
      <c r="T228" s="4"/>
    </row>
    <row r="229" spans="1:20" ht="15" customHeight="1" x14ac:dyDescent="0.25">
      <c r="A229" s="4" t="s">
        <v>2489</v>
      </c>
      <c r="B229" s="2" t="s">
        <v>2487</v>
      </c>
      <c r="C229" s="2" t="s">
        <v>2488</v>
      </c>
      <c r="D229" s="5" t="s">
        <v>2490</v>
      </c>
      <c r="E229" s="4" t="s">
        <v>2491</v>
      </c>
      <c r="F229" s="6">
        <v>14221323</v>
      </c>
      <c r="G229" s="3">
        <v>14221323</v>
      </c>
      <c r="H229" s="7">
        <v>194133541667</v>
      </c>
      <c r="I229" s="8" t="s">
        <v>62</v>
      </c>
      <c r="J229" s="4">
        <v>1</v>
      </c>
      <c r="K229" s="9">
        <v>18.13</v>
      </c>
      <c r="L229" s="9">
        <v>18.13</v>
      </c>
      <c r="M229" s="4" t="s">
        <v>1994</v>
      </c>
      <c r="N229" s="4"/>
      <c r="O229" s="4">
        <v>5</v>
      </c>
      <c r="P229" s="4" t="s">
        <v>2657</v>
      </c>
      <c r="Q229" s="4" t="s">
        <v>2716</v>
      </c>
      <c r="R229" s="4"/>
      <c r="S229" s="4"/>
      <c r="T229" s="4" t="str">
        <f>HYPERLINK("http://slimages.macys.com/is/image/MCY/19915856 ")</f>
        <v xml:space="preserve">http://slimages.macys.com/is/image/MCY/19915856 </v>
      </c>
    </row>
    <row r="230" spans="1:20" ht="15" customHeight="1" x14ac:dyDescent="0.25">
      <c r="A230" s="4" t="s">
        <v>2489</v>
      </c>
      <c r="B230" s="2" t="s">
        <v>2487</v>
      </c>
      <c r="C230" s="2" t="s">
        <v>2488</v>
      </c>
      <c r="D230" s="5" t="s">
        <v>2490</v>
      </c>
      <c r="E230" s="4" t="s">
        <v>2491</v>
      </c>
      <c r="F230" s="6">
        <v>14221323</v>
      </c>
      <c r="G230" s="3">
        <v>14221323</v>
      </c>
      <c r="H230" s="7">
        <v>80538129169</v>
      </c>
      <c r="I230" s="8" t="s">
        <v>63</v>
      </c>
      <c r="J230" s="4">
        <v>1</v>
      </c>
      <c r="K230" s="9">
        <v>11.99</v>
      </c>
      <c r="L230" s="9">
        <v>11.99</v>
      </c>
      <c r="M230" s="4">
        <v>64827</v>
      </c>
      <c r="N230" s="4" t="s">
        <v>2523</v>
      </c>
      <c r="O230" s="4" t="s">
        <v>2861</v>
      </c>
      <c r="P230" s="4" t="s">
        <v>2666</v>
      </c>
      <c r="Q230" s="4" t="s">
        <v>2778</v>
      </c>
      <c r="R230" s="4"/>
      <c r="S230" s="4"/>
      <c r="T230" s="4" t="str">
        <f>HYPERLINK("http://slimages.macys.com/is/image/MCY/19598486 ")</f>
        <v xml:space="preserve">http://slimages.macys.com/is/image/MCY/19598486 </v>
      </c>
    </row>
    <row r="231" spans="1:20" ht="15" customHeight="1" x14ac:dyDescent="0.25">
      <c r="A231" s="4" t="s">
        <v>2489</v>
      </c>
      <c r="B231" s="2" t="s">
        <v>2487</v>
      </c>
      <c r="C231" s="2" t="s">
        <v>2488</v>
      </c>
      <c r="D231" s="5" t="s">
        <v>2490</v>
      </c>
      <c r="E231" s="4" t="s">
        <v>2491</v>
      </c>
      <c r="F231" s="6">
        <v>14221323</v>
      </c>
      <c r="G231" s="3">
        <v>14221323</v>
      </c>
      <c r="H231" s="7">
        <v>733004729478</v>
      </c>
      <c r="I231" s="8" t="s">
        <v>64</v>
      </c>
      <c r="J231" s="4">
        <v>1</v>
      </c>
      <c r="K231" s="9">
        <v>11.99</v>
      </c>
      <c r="L231" s="9">
        <v>11.99</v>
      </c>
      <c r="M231" s="4" t="s">
        <v>3092</v>
      </c>
      <c r="N231" s="4" t="s">
        <v>2501</v>
      </c>
      <c r="O231" s="4" t="s">
        <v>2532</v>
      </c>
      <c r="P231" s="4" t="s">
        <v>2520</v>
      </c>
      <c r="Q231" s="4" t="s">
        <v>2521</v>
      </c>
      <c r="R231" s="4"/>
      <c r="S231" s="4"/>
      <c r="T231" s="4" t="str">
        <f>HYPERLINK("http://slimages.macys.com/is/image/MCY/1067460 ")</f>
        <v xml:space="preserve">http://slimages.macys.com/is/image/MCY/1067460 </v>
      </c>
    </row>
    <row r="232" spans="1:20" ht="15" customHeight="1" x14ac:dyDescent="0.25">
      <c r="A232" s="4" t="s">
        <v>2489</v>
      </c>
      <c r="B232" s="2" t="s">
        <v>2487</v>
      </c>
      <c r="C232" s="2" t="s">
        <v>2488</v>
      </c>
      <c r="D232" s="5" t="s">
        <v>2490</v>
      </c>
      <c r="E232" s="4" t="s">
        <v>2491</v>
      </c>
      <c r="F232" s="6">
        <v>14221323</v>
      </c>
      <c r="G232" s="3">
        <v>14221323</v>
      </c>
      <c r="H232" s="7">
        <v>196027073001</v>
      </c>
      <c r="I232" s="8" t="s">
        <v>65</v>
      </c>
      <c r="J232" s="4">
        <v>1</v>
      </c>
      <c r="K232" s="9">
        <v>17.989999999999998</v>
      </c>
      <c r="L232" s="9">
        <v>17.989999999999998</v>
      </c>
      <c r="M232" s="4" t="s">
        <v>1961</v>
      </c>
      <c r="N232" s="4" t="s">
        <v>2544</v>
      </c>
      <c r="O232" s="4"/>
      <c r="P232" s="4" t="s">
        <v>2569</v>
      </c>
      <c r="Q232" s="4" t="s">
        <v>2590</v>
      </c>
      <c r="R232" s="4"/>
      <c r="S232" s="4"/>
      <c r="T232" s="4" t="str">
        <f>HYPERLINK("http://slimages.macys.com/is/image/MCY/20662580 ")</f>
        <v xml:space="preserve">http://slimages.macys.com/is/image/MCY/20662580 </v>
      </c>
    </row>
    <row r="233" spans="1:20" ht="15" customHeight="1" x14ac:dyDescent="0.25">
      <c r="A233" s="4" t="s">
        <v>2489</v>
      </c>
      <c r="B233" s="2" t="s">
        <v>2487</v>
      </c>
      <c r="C233" s="2" t="s">
        <v>2488</v>
      </c>
      <c r="D233" s="5" t="s">
        <v>2490</v>
      </c>
      <c r="E233" s="4" t="s">
        <v>2491</v>
      </c>
      <c r="F233" s="6">
        <v>14221323</v>
      </c>
      <c r="G233" s="3">
        <v>14221323</v>
      </c>
      <c r="H233" s="7">
        <v>733004293825</v>
      </c>
      <c r="I233" s="8" t="s">
        <v>1266</v>
      </c>
      <c r="J233" s="4">
        <v>1</v>
      </c>
      <c r="K233" s="9">
        <v>13.99</v>
      </c>
      <c r="L233" s="9">
        <v>13.99</v>
      </c>
      <c r="M233" s="4" t="s">
        <v>1267</v>
      </c>
      <c r="N233" s="4" t="s">
        <v>2600</v>
      </c>
      <c r="O233" s="4" t="s">
        <v>2566</v>
      </c>
      <c r="P233" s="4" t="s">
        <v>2503</v>
      </c>
      <c r="Q233" s="4" t="s">
        <v>2504</v>
      </c>
      <c r="R233" s="4"/>
      <c r="S233" s="4"/>
      <c r="T233" s="4" t="str">
        <f>HYPERLINK("http://slimages.macys.com/is/image/MCY/19754215 ")</f>
        <v xml:space="preserve">http://slimages.macys.com/is/image/MCY/19754215 </v>
      </c>
    </row>
    <row r="234" spans="1:20" ht="15" customHeight="1" x14ac:dyDescent="0.25">
      <c r="A234" s="4" t="s">
        <v>2489</v>
      </c>
      <c r="B234" s="2" t="s">
        <v>2487</v>
      </c>
      <c r="C234" s="2" t="s">
        <v>2488</v>
      </c>
      <c r="D234" s="5" t="s">
        <v>2490</v>
      </c>
      <c r="E234" s="4" t="s">
        <v>2491</v>
      </c>
      <c r="F234" s="6">
        <v>14221323</v>
      </c>
      <c r="G234" s="3">
        <v>14221323</v>
      </c>
      <c r="H234" s="7">
        <v>887685054357</v>
      </c>
      <c r="I234" s="8" t="s">
        <v>66</v>
      </c>
      <c r="J234" s="4">
        <v>1</v>
      </c>
      <c r="K234" s="9">
        <v>29.5</v>
      </c>
      <c r="L234" s="9">
        <v>29.5</v>
      </c>
      <c r="M234" s="4">
        <v>321855010002</v>
      </c>
      <c r="N234" s="4" t="s">
        <v>2501</v>
      </c>
      <c r="O234" s="4" t="s">
        <v>2524</v>
      </c>
      <c r="P234" s="4" t="s">
        <v>2615</v>
      </c>
      <c r="Q234" s="4" t="s">
        <v>2616</v>
      </c>
      <c r="R234" s="4"/>
      <c r="S234" s="4"/>
      <c r="T234" s="4" t="str">
        <f>HYPERLINK("http://slimages.macys.com/is/image/MCY/20342376 ")</f>
        <v xml:space="preserve">http://slimages.macys.com/is/image/MCY/20342376 </v>
      </c>
    </row>
    <row r="235" spans="1:20" ht="15" customHeight="1" x14ac:dyDescent="0.25">
      <c r="A235" s="4" t="s">
        <v>2489</v>
      </c>
      <c r="B235" s="2" t="s">
        <v>2487</v>
      </c>
      <c r="C235" s="2" t="s">
        <v>2488</v>
      </c>
      <c r="D235" s="5" t="s">
        <v>2490</v>
      </c>
      <c r="E235" s="4" t="s">
        <v>2491</v>
      </c>
      <c r="F235" s="6">
        <v>14221323</v>
      </c>
      <c r="G235" s="3">
        <v>14221323</v>
      </c>
      <c r="H235" s="7">
        <v>762120162470</v>
      </c>
      <c r="I235" s="8" t="s">
        <v>492</v>
      </c>
      <c r="J235" s="4">
        <v>1</v>
      </c>
      <c r="K235" s="9">
        <v>7.99</v>
      </c>
      <c r="L235" s="9">
        <v>7.99</v>
      </c>
      <c r="M235" s="4" t="s">
        <v>3141</v>
      </c>
      <c r="N235" s="4" t="s">
        <v>2632</v>
      </c>
      <c r="O235" s="4" t="s">
        <v>2650</v>
      </c>
      <c r="P235" s="4" t="s">
        <v>2602</v>
      </c>
      <c r="Q235" s="4" t="s">
        <v>2528</v>
      </c>
      <c r="R235" s="4"/>
      <c r="S235" s="4"/>
      <c r="T235" s="4" t="str">
        <f>HYPERLINK("http://slimages.macys.com/is/image/MCY/20819691 ")</f>
        <v xml:space="preserve">http://slimages.macys.com/is/image/MCY/20819691 </v>
      </c>
    </row>
    <row r="236" spans="1:20" ht="15" customHeight="1" x14ac:dyDescent="0.25">
      <c r="A236" s="4" t="s">
        <v>2489</v>
      </c>
      <c r="B236" s="2" t="s">
        <v>2487</v>
      </c>
      <c r="C236" s="2" t="s">
        <v>2488</v>
      </c>
      <c r="D236" s="5" t="s">
        <v>2490</v>
      </c>
      <c r="E236" s="4" t="s">
        <v>2491</v>
      </c>
      <c r="F236" s="6">
        <v>14221323</v>
      </c>
      <c r="G236" s="3">
        <v>14221323</v>
      </c>
      <c r="H236" s="7">
        <v>492030649210</v>
      </c>
      <c r="I236" s="8" t="s">
        <v>1243</v>
      </c>
      <c r="J236" s="4">
        <v>4</v>
      </c>
      <c r="K236" s="9">
        <v>7.5</v>
      </c>
      <c r="L236" s="9">
        <v>30</v>
      </c>
      <c r="M236" s="4" t="s">
        <v>1244</v>
      </c>
      <c r="N236" s="4" t="s">
        <v>2769</v>
      </c>
      <c r="O236" s="4" t="s">
        <v>2669</v>
      </c>
      <c r="P236" s="4" t="s">
        <v>2503</v>
      </c>
      <c r="Q236" s="4" t="s">
        <v>2504</v>
      </c>
      <c r="R236" s="4"/>
      <c r="S236" s="4"/>
      <c r="T236" s="4"/>
    </row>
    <row r="237" spans="1:20" ht="15" customHeight="1" x14ac:dyDescent="0.25">
      <c r="A237" s="4" t="s">
        <v>2489</v>
      </c>
      <c r="B237" s="2" t="s">
        <v>2487</v>
      </c>
      <c r="C237" s="2" t="s">
        <v>2488</v>
      </c>
      <c r="D237" s="5" t="s">
        <v>2490</v>
      </c>
      <c r="E237" s="4" t="s">
        <v>2491</v>
      </c>
      <c r="F237" s="6">
        <v>14221323</v>
      </c>
      <c r="G237" s="3">
        <v>14221323</v>
      </c>
      <c r="H237" s="7">
        <v>733003959319</v>
      </c>
      <c r="I237" s="8" t="s">
        <v>67</v>
      </c>
      <c r="J237" s="4">
        <v>1</v>
      </c>
      <c r="K237" s="9">
        <v>17.989999999999998</v>
      </c>
      <c r="L237" s="9">
        <v>17.989999999999998</v>
      </c>
      <c r="M237" s="4" t="s">
        <v>1022</v>
      </c>
      <c r="N237" s="4"/>
      <c r="O237" s="4" t="s">
        <v>2587</v>
      </c>
      <c r="P237" s="4" t="s">
        <v>2520</v>
      </c>
      <c r="Q237" s="4" t="s">
        <v>2528</v>
      </c>
      <c r="R237" s="4"/>
      <c r="S237" s="4"/>
      <c r="T237" s="4" t="str">
        <f>HYPERLINK("http://slimages.macys.com/is/image/MCY/19568570 ")</f>
        <v xml:space="preserve">http://slimages.macys.com/is/image/MCY/19568570 </v>
      </c>
    </row>
    <row r="238" spans="1:20" ht="15" customHeight="1" x14ac:dyDescent="0.25">
      <c r="A238" s="4" t="s">
        <v>2489</v>
      </c>
      <c r="B238" s="2" t="s">
        <v>2487</v>
      </c>
      <c r="C238" s="2" t="s">
        <v>2488</v>
      </c>
      <c r="D238" s="5" t="s">
        <v>2490</v>
      </c>
      <c r="E238" s="4" t="s">
        <v>2491</v>
      </c>
      <c r="F238" s="6">
        <v>14221323</v>
      </c>
      <c r="G238" s="3">
        <v>14221323</v>
      </c>
      <c r="H238" s="7">
        <v>733004293856</v>
      </c>
      <c r="I238" s="8" t="s">
        <v>1349</v>
      </c>
      <c r="J238" s="4">
        <v>1</v>
      </c>
      <c r="K238" s="9">
        <v>13.99</v>
      </c>
      <c r="L238" s="9">
        <v>13.99</v>
      </c>
      <c r="M238" s="4" t="s">
        <v>1267</v>
      </c>
      <c r="N238" s="4" t="s">
        <v>2600</v>
      </c>
      <c r="O238" s="4"/>
      <c r="P238" s="4" t="s">
        <v>2503</v>
      </c>
      <c r="Q238" s="4" t="s">
        <v>2504</v>
      </c>
      <c r="R238" s="4"/>
      <c r="S238" s="4"/>
      <c r="T238" s="4" t="str">
        <f>HYPERLINK("http://slimages.macys.com/is/image/MCY/19754215 ")</f>
        <v xml:space="preserve">http://slimages.macys.com/is/image/MCY/19754215 </v>
      </c>
    </row>
    <row r="239" spans="1:20" ht="15" customHeight="1" x14ac:dyDescent="0.25">
      <c r="A239" s="4" t="s">
        <v>2489</v>
      </c>
      <c r="B239" s="2" t="s">
        <v>2487</v>
      </c>
      <c r="C239" s="2" t="s">
        <v>2488</v>
      </c>
      <c r="D239" s="5" t="s">
        <v>2490</v>
      </c>
      <c r="E239" s="4" t="s">
        <v>2491</v>
      </c>
      <c r="F239" s="6">
        <v>14221323</v>
      </c>
      <c r="G239" s="3">
        <v>14221323</v>
      </c>
      <c r="H239" s="7">
        <v>733003643720</v>
      </c>
      <c r="I239" s="8" t="s">
        <v>68</v>
      </c>
      <c r="J239" s="4">
        <v>1</v>
      </c>
      <c r="K239" s="9">
        <v>18.989999999999998</v>
      </c>
      <c r="L239" s="9">
        <v>18.989999999999998</v>
      </c>
      <c r="M239" s="4" t="s">
        <v>3079</v>
      </c>
      <c r="N239" s="4" t="s">
        <v>2514</v>
      </c>
      <c r="O239" s="4" t="s">
        <v>2650</v>
      </c>
      <c r="P239" s="4" t="s">
        <v>2515</v>
      </c>
      <c r="Q239" s="4" t="s">
        <v>2972</v>
      </c>
      <c r="R239" s="4"/>
      <c r="S239" s="4"/>
      <c r="T239" s="4" t="str">
        <f>HYPERLINK("http://slimages.macys.com/is/image/MCY/20008344 ")</f>
        <v xml:space="preserve">http://slimages.macys.com/is/image/MCY/20008344 </v>
      </c>
    </row>
    <row r="240" spans="1:20" ht="15" customHeight="1" x14ac:dyDescent="0.25">
      <c r="A240" s="4" t="s">
        <v>2489</v>
      </c>
      <c r="B240" s="2" t="s">
        <v>2487</v>
      </c>
      <c r="C240" s="2" t="s">
        <v>2488</v>
      </c>
      <c r="D240" s="5" t="s">
        <v>2490</v>
      </c>
      <c r="E240" s="4" t="s">
        <v>2491</v>
      </c>
      <c r="F240" s="6">
        <v>14221323</v>
      </c>
      <c r="G240" s="3">
        <v>14221323</v>
      </c>
      <c r="H240" s="7">
        <v>733001130444</v>
      </c>
      <c r="I240" s="8" t="s">
        <v>69</v>
      </c>
      <c r="J240" s="4">
        <v>1</v>
      </c>
      <c r="K240" s="9">
        <v>5.99</v>
      </c>
      <c r="L240" s="9">
        <v>5.99</v>
      </c>
      <c r="M240" s="4" t="s">
        <v>2907</v>
      </c>
      <c r="N240" s="4" t="s">
        <v>2508</v>
      </c>
      <c r="O240" s="4">
        <v>7</v>
      </c>
      <c r="P240" s="4" t="s">
        <v>2520</v>
      </c>
      <c r="Q240" s="4" t="s">
        <v>2528</v>
      </c>
      <c r="R240" s="4"/>
      <c r="S240" s="4"/>
      <c r="T240" s="4" t="str">
        <f>HYPERLINK("http://slimages.macys.com/is/image/MCY/17752093 ")</f>
        <v xml:space="preserve">http://slimages.macys.com/is/image/MCY/17752093 </v>
      </c>
    </row>
    <row r="241" spans="1:20" ht="15" customHeight="1" x14ac:dyDescent="0.25">
      <c r="A241" s="4" t="s">
        <v>2489</v>
      </c>
      <c r="B241" s="2" t="s">
        <v>2487</v>
      </c>
      <c r="C241" s="2" t="s">
        <v>2488</v>
      </c>
      <c r="D241" s="5" t="s">
        <v>2490</v>
      </c>
      <c r="E241" s="4" t="s">
        <v>2491</v>
      </c>
      <c r="F241" s="6">
        <v>14221323</v>
      </c>
      <c r="G241" s="3">
        <v>14221323</v>
      </c>
      <c r="H241" s="7">
        <v>733004748516</v>
      </c>
      <c r="I241" s="8" t="s">
        <v>3321</v>
      </c>
      <c r="J241" s="4">
        <v>1</v>
      </c>
      <c r="K241" s="9">
        <v>7.99</v>
      </c>
      <c r="L241" s="9">
        <v>7.99</v>
      </c>
      <c r="M241" s="4" t="s">
        <v>2836</v>
      </c>
      <c r="N241" s="4" t="s">
        <v>2505</v>
      </c>
      <c r="O241" s="4" t="s">
        <v>2650</v>
      </c>
      <c r="P241" s="4" t="s">
        <v>2503</v>
      </c>
      <c r="Q241" s="4" t="s">
        <v>2504</v>
      </c>
      <c r="R241" s="4"/>
      <c r="S241" s="4"/>
      <c r="T241" s="4" t="str">
        <f>HYPERLINK("http://slimages.macys.com/is/image/MCY/19977345 ")</f>
        <v xml:space="preserve">http://slimages.macys.com/is/image/MCY/19977345 </v>
      </c>
    </row>
    <row r="242" spans="1:20" ht="15" customHeight="1" x14ac:dyDescent="0.25">
      <c r="A242" s="4" t="s">
        <v>2489</v>
      </c>
      <c r="B242" s="2" t="s">
        <v>2487</v>
      </c>
      <c r="C242" s="2" t="s">
        <v>2488</v>
      </c>
      <c r="D242" s="5" t="s">
        <v>2490</v>
      </c>
      <c r="E242" s="4" t="s">
        <v>2491</v>
      </c>
      <c r="F242" s="6">
        <v>14221323</v>
      </c>
      <c r="G242" s="3">
        <v>14221323</v>
      </c>
      <c r="H242" s="7">
        <v>742728814124</v>
      </c>
      <c r="I242" s="8" t="s">
        <v>70</v>
      </c>
      <c r="J242" s="4">
        <v>1</v>
      </c>
      <c r="K242" s="9">
        <v>19.989999999999998</v>
      </c>
      <c r="L242" s="9">
        <v>19.989999999999998</v>
      </c>
      <c r="M242" s="4" t="s">
        <v>71</v>
      </c>
      <c r="N242" s="4" t="s">
        <v>2535</v>
      </c>
      <c r="O242" s="4" t="s">
        <v>2524</v>
      </c>
      <c r="P242" s="4" t="s">
        <v>2499</v>
      </c>
      <c r="Q242" s="4" t="s">
        <v>3093</v>
      </c>
      <c r="R242" s="4"/>
      <c r="S242" s="4"/>
      <c r="T242" s="4" t="str">
        <f>HYPERLINK("http://slimages.macys.com/is/image/MCY/19775758 ")</f>
        <v xml:space="preserve">http://slimages.macys.com/is/image/MCY/19775758 </v>
      </c>
    </row>
    <row r="243" spans="1:20" ht="15" customHeight="1" x14ac:dyDescent="0.25">
      <c r="A243" s="4" t="s">
        <v>2489</v>
      </c>
      <c r="B243" s="2" t="s">
        <v>2487</v>
      </c>
      <c r="C243" s="2" t="s">
        <v>2488</v>
      </c>
      <c r="D243" s="5" t="s">
        <v>2490</v>
      </c>
      <c r="E243" s="4" t="s">
        <v>2491</v>
      </c>
      <c r="F243" s="6">
        <v>14221323</v>
      </c>
      <c r="G243" s="3">
        <v>14221323</v>
      </c>
      <c r="H243" s="7">
        <v>733004748592</v>
      </c>
      <c r="I243" s="8" t="s">
        <v>2417</v>
      </c>
      <c r="J243" s="4">
        <v>1</v>
      </c>
      <c r="K243" s="9">
        <v>7.99</v>
      </c>
      <c r="L243" s="9">
        <v>7.99</v>
      </c>
      <c r="M243" s="4" t="s">
        <v>3352</v>
      </c>
      <c r="N243" s="4" t="s">
        <v>2505</v>
      </c>
      <c r="O243" s="4" t="s">
        <v>2628</v>
      </c>
      <c r="P243" s="4" t="s">
        <v>2503</v>
      </c>
      <c r="Q243" s="4" t="s">
        <v>2504</v>
      </c>
      <c r="R243" s="4"/>
      <c r="S243" s="4"/>
      <c r="T243" s="4" t="str">
        <f>HYPERLINK("http://slimages.macys.com/is/image/MCY/19977855 ")</f>
        <v xml:space="preserve">http://slimages.macys.com/is/image/MCY/19977855 </v>
      </c>
    </row>
    <row r="244" spans="1:20" ht="15" customHeight="1" x14ac:dyDescent="0.25">
      <c r="A244" s="4" t="s">
        <v>2489</v>
      </c>
      <c r="B244" s="2" t="s">
        <v>2487</v>
      </c>
      <c r="C244" s="2" t="s">
        <v>2488</v>
      </c>
      <c r="D244" s="5" t="s">
        <v>2490</v>
      </c>
      <c r="E244" s="4" t="s">
        <v>2491</v>
      </c>
      <c r="F244" s="6">
        <v>14221323</v>
      </c>
      <c r="G244" s="3">
        <v>14221323</v>
      </c>
      <c r="H244" s="7">
        <v>194135464506</v>
      </c>
      <c r="I244" s="8" t="s">
        <v>72</v>
      </c>
      <c r="J244" s="4">
        <v>1</v>
      </c>
      <c r="K244" s="9">
        <v>22.52</v>
      </c>
      <c r="L244" s="9">
        <v>22.52</v>
      </c>
      <c r="M244" s="4" t="s">
        <v>3309</v>
      </c>
      <c r="N244" s="4" t="s">
        <v>2523</v>
      </c>
      <c r="O244" s="4" t="s">
        <v>2591</v>
      </c>
      <c r="P244" s="4" t="s">
        <v>2494</v>
      </c>
      <c r="Q244" s="4" t="s">
        <v>2495</v>
      </c>
      <c r="R244" s="4"/>
      <c r="S244" s="4"/>
      <c r="T244" s="4" t="str">
        <f>HYPERLINK("http://slimages.macys.com/is/image/MCY/19836756 ")</f>
        <v xml:space="preserve">http://slimages.macys.com/is/image/MCY/19836756 </v>
      </c>
    </row>
    <row r="245" spans="1:20" ht="15" customHeight="1" x14ac:dyDescent="0.25">
      <c r="A245" s="4" t="s">
        <v>2489</v>
      </c>
      <c r="B245" s="2" t="s">
        <v>2487</v>
      </c>
      <c r="C245" s="2" t="s">
        <v>2488</v>
      </c>
      <c r="D245" s="5" t="s">
        <v>2490</v>
      </c>
      <c r="E245" s="4" t="s">
        <v>2491</v>
      </c>
      <c r="F245" s="6">
        <v>14221323</v>
      </c>
      <c r="G245" s="3">
        <v>14221323</v>
      </c>
      <c r="H245" s="7">
        <v>194135280465</v>
      </c>
      <c r="I245" s="8" t="s">
        <v>73</v>
      </c>
      <c r="J245" s="4">
        <v>1</v>
      </c>
      <c r="K245" s="9">
        <v>25.07</v>
      </c>
      <c r="L245" s="9">
        <v>25.07</v>
      </c>
      <c r="M245" s="4" t="s">
        <v>1368</v>
      </c>
      <c r="N245" s="4"/>
      <c r="O245" s="4" t="s">
        <v>2502</v>
      </c>
      <c r="P245" s="4" t="s">
        <v>2494</v>
      </c>
      <c r="Q245" s="4" t="s">
        <v>2560</v>
      </c>
      <c r="R245" s="4"/>
      <c r="S245" s="4"/>
      <c r="T245" s="4" t="str">
        <f>HYPERLINK("http://slimages.macys.com/is/image/MCY/19146571 ")</f>
        <v xml:space="preserve">http://slimages.macys.com/is/image/MCY/19146571 </v>
      </c>
    </row>
    <row r="246" spans="1:20" ht="15" customHeight="1" x14ac:dyDescent="0.25">
      <c r="A246" s="4" t="s">
        <v>2489</v>
      </c>
      <c r="B246" s="2" t="s">
        <v>2487</v>
      </c>
      <c r="C246" s="2" t="s">
        <v>2488</v>
      </c>
      <c r="D246" s="5" t="s">
        <v>2490</v>
      </c>
      <c r="E246" s="4" t="s">
        <v>2491</v>
      </c>
      <c r="F246" s="6">
        <v>14221323</v>
      </c>
      <c r="G246" s="3">
        <v>14221323</v>
      </c>
      <c r="H246" s="7">
        <v>194135450844</v>
      </c>
      <c r="I246" s="8" t="s">
        <v>74</v>
      </c>
      <c r="J246" s="4">
        <v>1</v>
      </c>
      <c r="K246" s="9">
        <v>5.23</v>
      </c>
      <c r="L246" s="9">
        <v>5.23</v>
      </c>
      <c r="M246" s="4" t="s">
        <v>75</v>
      </c>
      <c r="N246" s="4" t="s">
        <v>2518</v>
      </c>
      <c r="O246" s="4" t="s">
        <v>2831</v>
      </c>
      <c r="P246" s="4" t="s">
        <v>2494</v>
      </c>
      <c r="Q246" s="4" t="s">
        <v>2495</v>
      </c>
      <c r="R246" s="4"/>
      <c r="S246" s="4"/>
      <c r="T246" s="4" t="str">
        <f>HYPERLINK("http://slimages.macys.com/is/image/MCY/19836524 ")</f>
        <v xml:space="preserve">http://slimages.macys.com/is/image/MCY/19836524 </v>
      </c>
    </row>
    <row r="247" spans="1:20" ht="15" customHeight="1" x14ac:dyDescent="0.25">
      <c r="A247" s="4" t="s">
        <v>2489</v>
      </c>
      <c r="B247" s="2" t="s">
        <v>2487</v>
      </c>
      <c r="C247" s="2" t="s">
        <v>2488</v>
      </c>
      <c r="D247" s="5" t="s">
        <v>2490</v>
      </c>
      <c r="E247" s="4" t="s">
        <v>2491</v>
      </c>
      <c r="F247" s="6">
        <v>14221323</v>
      </c>
      <c r="G247" s="3">
        <v>14221323</v>
      </c>
      <c r="H247" s="7">
        <v>194257385048</v>
      </c>
      <c r="I247" s="8" t="s">
        <v>3387</v>
      </c>
      <c r="J247" s="4">
        <v>1</v>
      </c>
      <c r="K247" s="9">
        <v>8.99</v>
      </c>
      <c r="L247" s="9">
        <v>8.99</v>
      </c>
      <c r="M247" s="4" t="s">
        <v>2604</v>
      </c>
      <c r="N247" s="4" t="s">
        <v>2567</v>
      </c>
      <c r="O247" s="4">
        <v>6</v>
      </c>
      <c r="P247" s="4" t="s">
        <v>2499</v>
      </c>
      <c r="Q247" s="4" t="s">
        <v>2525</v>
      </c>
      <c r="R247" s="4"/>
      <c r="S247" s="4"/>
      <c r="T247" s="4" t="str">
        <f>HYPERLINK("http://slimages.macys.com/is/image/MCY/19944401 ")</f>
        <v xml:space="preserve">http://slimages.macys.com/is/image/MCY/19944401 </v>
      </c>
    </row>
    <row r="248" spans="1:20" ht="15" customHeight="1" x14ac:dyDescent="0.25">
      <c r="A248" s="4" t="s">
        <v>2489</v>
      </c>
      <c r="B248" s="2" t="s">
        <v>2487</v>
      </c>
      <c r="C248" s="2" t="s">
        <v>2488</v>
      </c>
      <c r="D248" s="5" t="s">
        <v>2490</v>
      </c>
      <c r="E248" s="4" t="s">
        <v>2491</v>
      </c>
      <c r="F248" s="6">
        <v>14221323</v>
      </c>
      <c r="G248" s="3">
        <v>14221323</v>
      </c>
      <c r="H248" s="7">
        <v>733004780615</v>
      </c>
      <c r="I248" s="8" t="s">
        <v>2139</v>
      </c>
      <c r="J248" s="4">
        <v>1</v>
      </c>
      <c r="K248" s="9">
        <v>11.99</v>
      </c>
      <c r="L248" s="9">
        <v>11.99</v>
      </c>
      <c r="M248" s="4" t="s">
        <v>3083</v>
      </c>
      <c r="N248" s="4" t="s">
        <v>2638</v>
      </c>
      <c r="O248" s="4">
        <v>5</v>
      </c>
      <c r="P248" s="4" t="s">
        <v>2602</v>
      </c>
      <c r="Q248" s="4" t="s">
        <v>2528</v>
      </c>
      <c r="R248" s="4"/>
      <c r="S248" s="4"/>
      <c r="T248" s="4" t="str">
        <f>HYPERLINK("http://slimages.macys.com/is/image/MCY/1110249 ")</f>
        <v xml:space="preserve">http://slimages.macys.com/is/image/MCY/1110249 </v>
      </c>
    </row>
    <row r="249" spans="1:20" ht="15" customHeight="1" x14ac:dyDescent="0.25">
      <c r="A249" s="4" t="s">
        <v>2489</v>
      </c>
      <c r="B249" s="2" t="s">
        <v>2487</v>
      </c>
      <c r="C249" s="2" t="s">
        <v>2488</v>
      </c>
      <c r="D249" s="5" t="s">
        <v>2490</v>
      </c>
      <c r="E249" s="4" t="s">
        <v>2491</v>
      </c>
      <c r="F249" s="6">
        <v>14221323</v>
      </c>
      <c r="G249" s="3">
        <v>14221323</v>
      </c>
      <c r="H249" s="7">
        <v>762120162487</v>
      </c>
      <c r="I249" s="8" t="s">
        <v>3140</v>
      </c>
      <c r="J249" s="4">
        <v>1</v>
      </c>
      <c r="K249" s="9">
        <v>7.99</v>
      </c>
      <c r="L249" s="9">
        <v>7.99</v>
      </c>
      <c r="M249" s="4" t="s">
        <v>3141</v>
      </c>
      <c r="N249" s="4" t="s">
        <v>2632</v>
      </c>
      <c r="O249" s="4" t="s">
        <v>2629</v>
      </c>
      <c r="P249" s="4" t="s">
        <v>2602</v>
      </c>
      <c r="Q249" s="4" t="s">
        <v>2528</v>
      </c>
      <c r="R249" s="4"/>
      <c r="S249" s="4"/>
      <c r="T249" s="4" t="str">
        <f>HYPERLINK("http://slimages.macys.com/is/image/MCY/20819691 ")</f>
        <v xml:space="preserve">http://slimages.macys.com/is/image/MCY/20819691 </v>
      </c>
    </row>
    <row r="250" spans="1:20" ht="15" customHeight="1" x14ac:dyDescent="0.25">
      <c r="A250" s="4" t="s">
        <v>2489</v>
      </c>
      <c r="B250" s="2" t="s">
        <v>2487</v>
      </c>
      <c r="C250" s="2" t="s">
        <v>2488</v>
      </c>
      <c r="D250" s="5" t="s">
        <v>2490</v>
      </c>
      <c r="E250" s="4" t="s">
        <v>2491</v>
      </c>
      <c r="F250" s="6">
        <v>14221323</v>
      </c>
      <c r="G250" s="3">
        <v>14221323</v>
      </c>
      <c r="H250" s="7">
        <v>733004780035</v>
      </c>
      <c r="I250" s="8" t="s">
        <v>1960</v>
      </c>
      <c r="J250" s="4">
        <v>1</v>
      </c>
      <c r="K250" s="9">
        <v>7.99</v>
      </c>
      <c r="L250" s="9">
        <v>7.99</v>
      </c>
      <c r="M250" s="4" t="s">
        <v>3128</v>
      </c>
      <c r="N250" s="4" t="s">
        <v>2632</v>
      </c>
      <c r="O250" s="4" t="s">
        <v>2628</v>
      </c>
      <c r="P250" s="4" t="s">
        <v>2602</v>
      </c>
      <c r="Q250" s="4" t="s">
        <v>2528</v>
      </c>
      <c r="R250" s="4"/>
      <c r="S250" s="4"/>
      <c r="T250" s="4" t="str">
        <f>HYPERLINK("http://slimages.macys.com/is/image/MCY/20450161 ")</f>
        <v xml:space="preserve">http://slimages.macys.com/is/image/MCY/20450161 </v>
      </c>
    </row>
    <row r="251" spans="1:20" ht="15" customHeight="1" x14ac:dyDescent="0.25">
      <c r="A251" s="4" t="s">
        <v>2489</v>
      </c>
      <c r="B251" s="2" t="s">
        <v>2487</v>
      </c>
      <c r="C251" s="2" t="s">
        <v>2488</v>
      </c>
      <c r="D251" s="5" t="s">
        <v>2490</v>
      </c>
      <c r="E251" s="4" t="s">
        <v>2491</v>
      </c>
      <c r="F251" s="6">
        <v>14221323</v>
      </c>
      <c r="G251" s="3">
        <v>14221323</v>
      </c>
      <c r="H251" s="7">
        <v>733004752926</v>
      </c>
      <c r="I251" s="8" t="s">
        <v>874</v>
      </c>
      <c r="J251" s="4">
        <v>1</v>
      </c>
      <c r="K251" s="9">
        <v>14.99</v>
      </c>
      <c r="L251" s="9">
        <v>14.99</v>
      </c>
      <c r="M251" s="4" t="s">
        <v>2123</v>
      </c>
      <c r="N251" s="4" t="s">
        <v>2548</v>
      </c>
      <c r="O251" s="4" t="s">
        <v>2519</v>
      </c>
      <c r="P251" s="4" t="s">
        <v>2543</v>
      </c>
      <c r="Q251" s="4" t="s">
        <v>2528</v>
      </c>
      <c r="R251" s="4"/>
      <c r="S251" s="4"/>
      <c r="T251" s="4" t="str">
        <f>HYPERLINK("http://slimages.macys.com/is/image/MCY/20440836 ")</f>
        <v xml:space="preserve">http://slimages.macys.com/is/image/MCY/20440836 </v>
      </c>
    </row>
    <row r="252" spans="1:20" ht="15" customHeight="1" x14ac:dyDescent="0.25">
      <c r="A252" s="4" t="s">
        <v>2489</v>
      </c>
      <c r="B252" s="2" t="s">
        <v>2487</v>
      </c>
      <c r="C252" s="2" t="s">
        <v>2488</v>
      </c>
      <c r="D252" s="5" t="s">
        <v>2490</v>
      </c>
      <c r="E252" s="4" t="s">
        <v>2491</v>
      </c>
      <c r="F252" s="6">
        <v>14221323</v>
      </c>
      <c r="G252" s="3">
        <v>14221323</v>
      </c>
      <c r="H252" s="7">
        <v>733004085925</v>
      </c>
      <c r="I252" s="8" t="s">
        <v>76</v>
      </c>
      <c r="J252" s="4">
        <v>2</v>
      </c>
      <c r="K252" s="9">
        <v>21.99</v>
      </c>
      <c r="L252" s="9">
        <v>43.98</v>
      </c>
      <c r="M252" s="4" t="s">
        <v>1573</v>
      </c>
      <c r="N252" s="4" t="s">
        <v>2567</v>
      </c>
      <c r="O252" s="4" t="s">
        <v>2555</v>
      </c>
      <c r="P252" s="4" t="s">
        <v>2543</v>
      </c>
      <c r="Q252" s="4" t="s">
        <v>2528</v>
      </c>
      <c r="R252" s="4"/>
      <c r="S252" s="4"/>
      <c r="T252" s="4" t="str">
        <f>HYPERLINK("http://slimages.macys.com/is/image/MCY/19988444 ")</f>
        <v xml:space="preserve">http://slimages.macys.com/is/image/MCY/19988444 </v>
      </c>
    </row>
    <row r="253" spans="1:20" ht="15" customHeight="1" x14ac:dyDescent="0.25">
      <c r="A253" s="4" t="s">
        <v>2489</v>
      </c>
      <c r="B253" s="2" t="s">
        <v>2487</v>
      </c>
      <c r="C253" s="2" t="s">
        <v>2488</v>
      </c>
      <c r="D253" s="5" t="s">
        <v>2490</v>
      </c>
      <c r="E253" s="4" t="s">
        <v>2491</v>
      </c>
      <c r="F253" s="6">
        <v>14221323</v>
      </c>
      <c r="G253" s="3">
        <v>14221323</v>
      </c>
      <c r="H253" s="7">
        <v>733004780592</v>
      </c>
      <c r="I253" s="8" t="s">
        <v>2015</v>
      </c>
      <c r="J253" s="4">
        <v>1</v>
      </c>
      <c r="K253" s="9">
        <v>11.99</v>
      </c>
      <c r="L253" s="9">
        <v>11.99</v>
      </c>
      <c r="M253" s="4" t="s">
        <v>3083</v>
      </c>
      <c r="N253" s="4" t="s">
        <v>2501</v>
      </c>
      <c r="O253" s="4" t="s">
        <v>2628</v>
      </c>
      <c r="P253" s="4" t="s">
        <v>2602</v>
      </c>
      <c r="Q253" s="4" t="s">
        <v>2528</v>
      </c>
      <c r="R253" s="4"/>
      <c r="S253" s="4"/>
      <c r="T253" s="4" t="str">
        <f>HYPERLINK("http://slimages.macys.com/is/image/MCY/1110249 ")</f>
        <v xml:space="preserve">http://slimages.macys.com/is/image/MCY/1110249 </v>
      </c>
    </row>
    <row r="254" spans="1:20" ht="15" customHeight="1" x14ac:dyDescent="0.25">
      <c r="A254" s="4" t="s">
        <v>2489</v>
      </c>
      <c r="B254" s="2" t="s">
        <v>2487</v>
      </c>
      <c r="C254" s="2" t="s">
        <v>2488</v>
      </c>
      <c r="D254" s="5" t="s">
        <v>2490</v>
      </c>
      <c r="E254" s="4" t="s">
        <v>2491</v>
      </c>
      <c r="F254" s="6">
        <v>14221323</v>
      </c>
      <c r="G254" s="3">
        <v>14221323</v>
      </c>
      <c r="H254" s="7">
        <v>194257500373</v>
      </c>
      <c r="I254" s="8" t="s">
        <v>1546</v>
      </c>
      <c r="J254" s="4">
        <v>1</v>
      </c>
      <c r="K254" s="9">
        <v>12.99</v>
      </c>
      <c r="L254" s="9">
        <v>12.99</v>
      </c>
      <c r="M254" s="4" t="s">
        <v>3402</v>
      </c>
      <c r="N254" s="4" t="s">
        <v>2514</v>
      </c>
      <c r="O254" s="4" t="s">
        <v>2671</v>
      </c>
      <c r="P254" s="4" t="s">
        <v>2619</v>
      </c>
      <c r="Q254" s="4" t="s">
        <v>2500</v>
      </c>
      <c r="R254" s="4"/>
      <c r="S254" s="4"/>
      <c r="T254" s="4" t="str">
        <f>HYPERLINK("http://slimages.macys.com/is/image/MCY/19575710 ")</f>
        <v xml:space="preserve">http://slimages.macys.com/is/image/MCY/19575710 </v>
      </c>
    </row>
    <row r="255" spans="1:20" ht="15" customHeight="1" x14ac:dyDescent="0.25">
      <c r="A255" s="4" t="s">
        <v>2489</v>
      </c>
      <c r="B255" s="2" t="s">
        <v>2487</v>
      </c>
      <c r="C255" s="2" t="s">
        <v>2488</v>
      </c>
      <c r="D255" s="5" t="s">
        <v>2490</v>
      </c>
      <c r="E255" s="4" t="s">
        <v>2491</v>
      </c>
      <c r="F255" s="6">
        <v>14221323</v>
      </c>
      <c r="G255" s="3">
        <v>14221323</v>
      </c>
      <c r="H255" s="7">
        <v>733003705756</v>
      </c>
      <c r="I255" s="8" t="s">
        <v>77</v>
      </c>
      <c r="J255" s="4">
        <v>2</v>
      </c>
      <c r="K255" s="9">
        <v>22.99</v>
      </c>
      <c r="L255" s="9">
        <v>45.98</v>
      </c>
      <c r="M255" s="4" t="s">
        <v>758</v>
      </c>
      <c r="N255" s="4" t="s">
        <v>2548</v>
      </c>
      <c r="O255" s="4" t="s">
        <v>2650</v>
      </c>
      <c r="P255" s="4" t="s">
        <v>2602</v>
      </c>
      <c r="Q255" s="4" t="s">
        <v>2528</v>
      </c>
      <c r="R255" s="4"/>
      <c r="S255" s="4"/>
      <c r="T255" s="4" t="str">
        <f>HYPERLINK("http://slimages.macys.com/is/image/MCY/19632125 ")</f>
        <v xml:space="preserve">http://slimages.macys.com/is/image/MCY/19632125 </v>
      </c>
    </row>
    <row r="256" spans="1:20" ht="15" customHeight="1" x14ac:dyDescent="0.25">
      <c r="A256" s="4" t="s">
        <v>2489</v>
      </c>
      <c r="B256" s="2" t="s">
        <v>2487</v>
      </c>
      <c r="C256" s="2" t="s">
        <v>2488</v>
      </c>
      <c r="D256" s="5" t="s">
        <v>2490</v>
      </c>
      <c r="E256" s="4" t="s">
        <v>2491</v>
      </c>
      <c r="F256" s="6">
        <v>14221323</v>
      </c>
      <c r="G256" s="3">
        <v>14221323</v>
      </c>
      <c r="H256" s="7">
        <v>733003706128</v>
      </c>
      <c r="I256" s="8" t="s">
        <v>759</v>
      </c>
      <c r="J256" s="4">
        <v>1</v>
      </c>
      <c r="K256" s="9">
        <v>22.99</v>
      </c>
      <c r="L256" s="9">
        <v>22.99</v>
      </c>
      <c r="M256" s="4" t="s">
        <v>760</v>
      </c>
      <c r="N256" s="4" t="s">
        <v>2497</v>
      </c>
      <c r="O256" s="4" t="s">
        <v>2629</v>
      </c>
      <c r="P256" s="4" t="s">
        <v>2602</v>
      </c>
      <c r="Q256" s="4" t="s">
        <v>2528</v>
      </c>
      <c r="R256" s="4"/>
      <c r="S256" s="4"/>
      <c r="T256" s="4" t="str">
        <f>HYPERLINK("http://slimages.macys.com/is/image/MCY/19632125 ")</f>
        <v xml:space="preserve">http://slimages.macys.com/is/image/MCY/19632125 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5"/>
  <sheetViews>
    <sheetView workbookViewId="0">
      <selection activeCell="C23" sqref="C23"/>
    </sheetView>
  </sheetViews>
  <sheetFormatPr defaultRowHeight="15" x14ac:dyDescent="0.25"/>
  <cols>
    <col min="1" max="1" width="19.85546875" bestFit="1" customWidth="1"/>
    <col min="2" max="2" width="34.42578125" bestFit="1" customWidth="1"/>
    <col min="3" max="3" width="26" bestFit="1" customWidth="1"/>
    <col min="4" max="4" width="8.140625" bestFit="1" customWidth="1"/>
    <col min="5" max="5" width="9.85546875" bestFit="1" customWidth="1"/>
    <col min="6" max="7" width="9" bestFit="1" customWidth="1"/>
    <col min="8" max="8" width="13.140625" bestFit="1" customWidth="1"/>
    <col min="9" max="9" width="71.85546875" bestFit="1" customWidth="1"/>
    <col min="10" max="11" width="8.7109375" bestFit="1" customWidth="1"/>
    <col min="12" max="12" width="14.7109375" bestFit="1" customWidth="1"/>
    <col min="13" max="13" width="21.5703125" bestFit="1" customWidth="1"/>
    <col min="14" max="14" width="13.140625" bestFit="1" customWidth="1"/>
    <col min="15" max="15" width="11.28515625" bestFit="1" customWidth="1"/>
    <col min="16" max="16" width="15.7109375" bestFit="1" customWidth="1"/>
    <col min="17" max="17" width="39" bestFit="1" customWidth="1"/>
    <col min="18" max="18" width="15.5703125" bestFit="1" customWidth="1"/>
    <col min="19" max="19" width="83.5703125" bestFit="1" customWidth="1"/>
    <col min="20" max="20" width="48.140625" bestFit="1" customWidth="1"/>
  </cols>
  <sheetData>
    <row r="1" spans="1:20" ht="24" x14ac:dyDescent="0.25">
      <c r="A1" s="1" t="s">
        <v>2480</v>
      </c>
      <c r="B1" s="1" t="s">
        <v>2482</v>
      </c>
      <c r="C1" s="1" t="s">
        <v>2483</v>
      </c>
      <c r="D1" s="1" t="s">
        <v>2572</v>
      </c>
      <c r="E1" s="1" t="s">
        <v>2573</v>
      </c>
      <c r="F1" s="1" t="s">
        <v>2481</v>
      </c>
      <c r="G1" s="1" t="s">
        <v>2574</v>
      </c>
      <c r="H1" s="1" t="s">
        <v>2575</v>
      </c>
      <c r="I1" s="1" t="s">
        <v>2576</v>
      </c>
      <c r="J1" s="1" t="s">
        <v>2577</v>
      </c>
      <c r="K1" s="1" t="s">
        <v>2485</v>
      </c>
      <c r="L1" s="1" t="s">
        <v>2578</v>
      </c>
      <c r="M1" s="1" t="s">
        <v>2579</v>
      </c>
      <c r="N1" s="1" t="s">
        <v>2580</v>
      </c>
      <c r="O1" s="1" t="s">
        <v>2581</v>
      </c>
      <c r="P1" s="1" t="s">
        <v>2582</v>
      </c>
      <c r="Q1" s="1" t="s">
        <v>2583</v>
      </c>
      <c r="R1" s="1" t="s">
        <v>2584</v>
      </c>
      <c r="S1" s="1" t="s">
        <v>2585</v>
      </c>
      <c r="T1" s="1" t="s">
        <v>2586</v>
      </c>
    </row>
    <row r="2" spans="1:20" ht="15" customHeight="1" x14ac:dyDescent="0.25">
      <c r="A2" s="4" t="s">
        <v>2489</v>
      </c>
      <c r="B2" s="2" t="s">
        <v>2487</v>
      </c>
      <c r="C2" s="2" t="s">
        <v>2488</v>
      </c>
      <c r="D2" s="5" t="s">
        <v>2490</v>
      </c>
      <c r="E2" s="4" t="s">
        <v>2491</v>
      </c>
      <c r="F2" s="6">
        <v>14210606</v>
      </c>
      <c r="G2" s="3">
        <v>14210606</v>
      </c>
      <c r="H2" s="7">
        <v>195883273112</v>
      </c>
      <c r="I2" s="8" t="s">
        <v>97</v>
      </c>
      <c r="J2" s="4">
        <v>1</v>
      </c>
      <c r="K2" s="9">
        <v>25.99</v>
      </c>
      <c r="L2" s="9">
        <v>25.99</v>
      </c>
      <c r="M2" s="4" t="s">
        <v>98</v>
      </c>
      <c r="N2" s="4" t="s">
        <v>2642</v>
      </c>
      <c r="O2" s="4" t="s">
        <v>2653</v>
      </c>
      <c r="P2" s="4" t="s">
        <v>2536</v>
      </c>
      <c r="Q2" s="4" t="s">
        <v>2944</v>
      </c>
      <c r="R2" s="4"/>
      <c r="S2" s="4"/>
      <c r="T2" s="4" t="str">
        <f>HYPERLINK("http://slimages.macys.com/is/image/MCY/19856701 ")</f>
        <v xml:space="preserve">http://slimages.macys.com/is/image/MCY/19856701 </v>
      </c>
    </row>
    <row r="3" spans="1:20" ht="15" customHeight="1" x14ac:dyDescent="0.25">
      <c r="A3" s="4" t="s">
        <v>2489</v>
      </c>
      <c r="B3" s="2" t="s">
        <v>2487</v>
      </c>
      <c r="C3" s="2" t="s">
        <v>2488</v>
      </c>
      <c r="D3" s="5" t="s">
        <v>2490</v>
      </c>
      <c r="E3" s="4" t="s">
        <v>2491</v>
      </c>
      <c r="F3" s="6">
        <v>14210606</v>
      </c>
      <c r="G3" s="3">
        <v>14210606</v>
      </c>
      <c r="H3" s="7">
        <v>195958234352</v>
      </c>
      <c r="I3" s="8" t="s">
        <v>99</v>
      </c>
      <c r="J3" s="4">
        <v>1</v>
      </c>
      <c r="K3" s="9">
        <v>24.99</v>
      </c>
      <c r="L3" s="9">
        <v>24.99</v>
      </c>
      <c r="M3" s="4" t="s">
        <v>100</v>
      </c>
      <c r="N3" s="4"/>
      <c r="O3" s="4" t="s">
        <v>2524</v>
      </c>
      <c r="P3" s="4" t="s">
        <v>2956</v>
      </c>
      <c r="Q3" s="4" t="s">
        <v>3383</v>
      </c>
      <c r="R3" s="4"/>
      <c r="S3" s="4"/>
      <c r="T3" s="4" t="str">
        <f>HYPERLINK("http://slimages.macys.com/is/image/MCY/20015695 ")</f>
        <v xml:space="preserve">http://slimages.macys.com/is/image/MCY/20015695 </v>
      </c>
    </row>
    <row r="4" spans="1:20" ht="15" customHeight="1" x14ac:dyDescent="0.25">
      <c r="A4" s="4" t="s">
        <v>2489</v>
      </c>
      <c r="B4" s="2" t="s">
        <v>2487</v>
      </c>
      <c r="C4" s="2" t="s">
        <v>2488</v>
      </c>
      <c r="D4" s="5" t="s">
        <v>2490</v>
      </c>
      <c r="E4" s="4" t="s">
        <v>2491</v>
      </c>
      <c r="F4" s="6">
        <v>14210606</v>
      </c>
      <c r="G4" s="3">
        <v>14210606</v>
      </c>
      <c r="H4" s="7">
        <v>195883300184</v>
      </c>
      <c r="I4" s="8" t="s">
        <v>101</v>
      </c>
      <c r="J4" s="4">
        <v>1</v>
      </c>
      <c r="K4" s="9">
        <v>25.99</v>
      </c>
      <c r="L4" s="9">
        <v>25.99</v>
      </c>
      <c r="M4" s="4" t="s">
        <v>102</v>
      </c>
      <c r="N4" s="4" t="s">
        <v>2853</v>
      </c>
      <c r="O4" s="4" t="s">
        <v>2705</v>
      </c>
      <c r="P4" s="4" t="s">
        <v>2536</v>
      </c>
      <c r="Q4" s="4" t="s">
        <v>2944</v>
      </c>
      <c r="R4" s="4"/>
      <c r="S4" s="4"/>
      <c r="T4" s="4" t="str">
        <f>HYPERLINK("http://slimages.macys.com/is/image/MCY/19856671 ")</f>
        <v xml:space="preserve">http://slimages.macys.com/is/image/MCY/19856671 </v>
      </c>
    </row>
    <row r="5" spans="1:20" ht="15" customHeight="1" x14ac:dyDescent="0.25">
      <c r="A5" s="4" t="s">
        <v>2489</v>
      </c>
      <c r="B5" s="2" t="s">
        <v>2487</v>
      </c>
      <c r="C5" s="2" t="s">
        <v>2488</v>
      </c>
      <c r="D5" s="5" t="s">
        <v>2490</v>
      </c>
      <c r="E5" s="4" t="s">
        <v>2491</v>
      </c>
      <c r="F5" s="6">
        <v>14210606</v>
      </c>
      <c r="G5" s="3">
        <v>14210606</v>
      </c>
      <c r="H5" s="7">
        <v>733003171087</v>
      </c>
      <c r="I5" s="8" t="s">
        <v>103</v>
      </c>
      <c r="J5" s="4">
        <v>1</v>
      </c>
      <c r="K5" s="9">
        <v>14.99</v>
      </c>
      <c r="L5" s="9">
        <v>14.99</v>
      </c>
      <c r="M5" s="4" t="s">
        <v>104</v>
      </c>
      <c r="N5" s="4" t="s">
        <v>2638</v>
      </c>
      <c r="O5" s="4" t="s">
        <v>2671</v>
      </c>
      <c r="P5" s="4" t="s">
        <v>2515</v>
      </c>
      <c r="Q5" s="4" t="s">
        <v>2672</v>
      </c>
      <c r="R5" s="4"/>
      <c r="S5" s="4"/>
      <c r="T5" s="4" t="str">
        <f>HYPERLINK("http://slimages.macys.com/is/image/MCY/18926716 ")</f>
        <v xml:space="preserve">http://slimages.macys.com/is/image/MCY/18926716 </v>
      </c>
    </row>
    <row r="6" spans="1:20" ht="15" customHeight="1" x14ac:dyDescent="0.25">
      <c r="A6" s="4" t="s">
        <v>2489</v>
      </c>
      <c r="B6" s="2" t="s">
        <v>2487</v>
      </c>
      <c r="C6" s="2" t="s">
        <v>2488</v>
      </c>
      <c r="D6" s="5" t="s">
        <v>2490</v>
      </c>
      <c r="E6" s="4" t="s">
        <v>2491</v>
      </c>
      <c r="F6" s="6">
        <v>14210606</v>
      </c>
      <c r="G6" s="3">
        <v>14210606</v>
      </c>
      <c r="H6" s="7">
        <v>195238052379</v>
      </c>
      <c r="I6" s="8" t="s">
        <v>105</v>
      </c>
      <c r="J6" s="4">
        <v>1</v>
      </c>
      <c r="K6" s="9">
        <v>48.99</v>
      </c>
      <c r="L6" s="9">
        <v>48.99</v>
      </c>
      <c r="M6" s="4" t="s">
        <v>1926</v>
      </c>
      <c r="N6" s="4" t="s">
        <v>2523</v>
      </c>
      <c r="O6" s="4" t="s">
        <v>2555</v>
      </c>
      <c r="P6" s="4" t="s">
        <v>2499</v>
      </c>
      <c r="Q6" s="4" t="s">
        <v>2568</v>
      </c>
      <c r="R6" s="4"/>
      <c r="S6" s="4"/>
      <c r="T6" s="4" t="str">
        <f>HYPERLINK("http://slimages.macys.com/is/image/MCY/19544123 ")</f>
        <v xml:space="preserve">http://slimages.macys.com/is/image/MCY/19544123 </v>
      </c>
    </row>
    <row r="7" spans="1:20" ht="15" customHeight="1" x14ac:dyDescent="0.25">
      <c r="A7" s="4" t="s">
        <v>2489</v>
      </c>
      <c r="B7" s="2" t="s">
        <v>2487</v>
      </c>
      <c r="C7" s="2" t="s">
        <v>2488</v>
      </c>
      <c r="D7" s="5" t="s">
        <v>2490</v>
      </c>
      <c r="E7" s="4" t="s">
        <v>2491</v>
      </c>
      <c r="F7" s="6">
        <v>14210606</v>
      </c>
      <c r="G7" s="3">
        <v>14210606</v>
      </c>
      <c r="H7" s="7">
        <v>194870498866</v>
      </c>
      <c r="I7" s="8" t="s">
        <v>106</v>
      </c>
      <c r="J7" s="4">
        <v>1</v>
      </c>
      <c r="K7" s="9">
        <v>25.99</v>
      </c>
      <c r="L7" s="9">
        <v>25.99</v>
      </c>
      <c r="M7" s="4" t="s">
        <v>2680</v>
      </c>
      <c r="N7" s="4" t="s">
        <v>2497</v>
      </c>
      <c r="O7" s="4" t="s">
        <v>2498</v>
      </c>
      <c r="P7" s="4" t="s">
        <v>2619</v>
      </c>
      <c r="Q7" s="4" t="s">
        <v>2681</v>
      </c>
      <c r="R7" s="4"/>
      <c r="S7" s="4"/>
      <c r="T7" s="4" t="str">
        <f>HYPERLINK("http://slimages.macys.com/is/image/MCY/19589603 ")</f>
        <v xml:space="preserve">http://slimages.macys.com/is/image/MCY/19589603 </v>
      </c>
    </row>
    <row r="8" spans="1:20" ht="15" customHeight="1" x14ac:dyDescent="0.25">
      <c r="A8" s="4" t="s">
        <v>2489</v>
      </c>
      <c r="B8" s="2" t="s">
        <v>2487</v>
      </c>
      <c r="C8" s="2" t="s">
        <v>2488</v>
      </c>
      <c r="D8" s="5" t="s">
        <v>2490</v>
      </c>
      <c r="E8" s="4" t="s">
        <v>2491</v>
      </c>
      <c r="F8" s="6">
        <v>14210606</v>
      </c>
      <c r="G8" s="3">
        <v>14210606</v>
      </c>
      <c r="H8" s="7">
        <v>194257490889</v>
      </c>
      <c r="I8" s="8" t="s">
        <v>107</v>
      </c>
      <c r="J8" s="4">
        <v>1</v>
      </c>
      <c r="K8" s="9">
        <v>8.99</v>
      </c>
      <c r="L8" s="9">
        <v>8.99</v>
      </c>
      <c r="M8" s="4" t="s">
        <v>3124</v>
      </c>
      <c r="N8" s="4" t="s">
        <v>2804</v>
      </c>
      <c r="O8" s="4">
        <v>7</v>
      </c>
      <c r="P8" s="4" t="s">
        <v>2499</v>
      </c>
      <c r="Q8" s="4" t="s">
        <v>2525</v>
      </c>
      <c r="R8" s="4"/>
      <c r="S8" s="4"/>
      <c r="T8" s="4" t="str">
        <f>HYPERLINK("http://slimages.macys.com/is/image/MCY/19764550 ")</f>
        <v xml:space="preserve">http://slimages.macys.com/is/image/MCY/19764550 </v>
      </c>
    </row>
    <row r="9" spans="1:20" ht="15" customHeight="1" x14ac:dyDescent="0.25">
      <c r="A9" s="4" t="s">
        <v>2489</v>
      </c>
      <c r="B9" s="2" t="s">
        <v>2487</v>
      </c>
      <c r="C9" s="2" t="s">
        <v>2488</v>
      </c>
      <c r="D9" s="5" t="s">
        <v>2490</v>
      </c>
      <c r="E9" s="4" t="s">
        <v>2491</v>
      </c>
      <c r="F9" s="6">
        <v>14210606</v>
      </c>
      <c r="G9" s="3">
        <v>14210606</v>
      </c>
      <c r="H9" s="7">
        <v>733004287077</v>
      </c>
      <c r="I9" s="8" t="s">
        <v>108</v>
      </c>
      <c r="J9" s="4">
        <v>1</v>
      </c>
      <c r="K9" s="9">
        <v>6.99</v>
      </c>
      <c r="L9" s="9">
        <v>6.99</v>
      </c>
      <c r="M9" s="4" t="s">
        <v>109</v>
      </c>
      <c r="N9" s="4" t="s">
        <v>2600</v>
      </c>
      <c r="O9" s="4" t="s">
        <v>2493</v>
      </c>
      <c r="P9" s="4" t="s">
        <v>2503</v>
      </c>
      <c r="Q9" s="4" t="s">
        <v>2504</v>
      </c>
      <c r="R9" s="4"/>
      <c r="S9" s="4"/>
      <c r="T9" s="4" t="str">
        <f>HYPERLINK("http://slimages.macys.com/is/image/MCY/19746506 ")</f>
        <v xml:space="preserve">http://slimages.macys.com/is/image/MCY/19746506 </v>
      </c>
    </row>
    <row r="10" spans="1:20" ht="15" customHeight="1" x14ac:dyDescent="0.25">
      <c r="A10" s="4" t="s">
        <v>2489</v>
      </c>
      <c r="B10" s="2" t="s">
        <v>2487</v>
      </c>
      <c r="C10" s="2" t="s">
        <v>2488</v>
      </c>
      <c r="D10" s="5" t="s">
        <v>2490</v>
      </c>
      <c r="E10" s="4" t="s">
        <v>2491</v>
      </c>
      <c r="F10" s="6">
        <v>14210606</v>
      </c>
      <c r="G10" s="3">
        <v>14210606</v>
      </c>
      <c r="H10" s="7">
        <v>733004286971</v>
      </c>
      <c r="I10" s="8" t="s">
        <v>110</v>
      </c>
      <c r="J10" s="4">
        <v>1</v>
      </c>
      <c r="K10" s="9">
        <v>6.99</v>
      </c>
      <c r="L10" s="9">
        <v>6.99</v>
      </c>
      <c r="M10" s="4" t="s">
        <v>1988</v>
      </c>
      <c r="N10" s="4" t="s">
        <v>2600</v>
      </c>
      <c r="O10" s="4" t="s">
        <v>2493</v>
      </c>
      <c r="P10" s="4" t="s">
        <v>2503</v>
      </c>
      <c r="Q10" s="4" t="s">
        <v>2504</v>
      </c>
      <c r="R10" s="4"/>
      <c r="S10" s="4"/>
      <c r="T10" s="4" t="str">
        <f>HYPERLINK("http://slimages.macys.com/is/image/MCY/19746547 ")</f>
        <v xml:space="preserve">http://slimages.macys.com/is/image/MCY/19746547 </v>
      </c>
    </row>
    <row r="11" spans="1:20" ht="15" customHeight="1" x14ac:dyDescent="0.25">
      <c r="A11" s="4" t="s">
        <v>2489</v>
      </c>
      <c r="B11" s="2" t="s">
        <v>2487</v>
      </c>
      <c r="C11" s="2" t="s">
        <v>2488</v>
      </c>
      <c r="D11" s="5" t="s">
        <v>2490</v>
      </c>
      <c r="E11" s="4" t="s">
        <v>2491</v>
      </c>
      <c r="F11" s="6">
        <v>14210606</v>
      </c>
      <c r="G11" s="3">
        <v>14210606</v>
      </c>
      <c r="H11" s="7">
        <v>192042719504</v>
      </c>
      <c r="I11" s="8" t="s">
        <v>111</v>
      </c>
      <c r="J11" s="4">
        <v>1</v>
      </c>
      <c r="K11" s="9">
        <v>17.5</v>
      </c>
      <c r="L11" s="9">
        <v>17.5</v>
      </c>
      <c r="M11" s="4" t="s">
        <v>1066</v>
      </c>
      <c r="N11" s="4" t="s">
        <v>2523</v>
      </c>
      <c r="O11" s="4" t="s">
        <v>2653</v>
      </c>
      <c r="P11" s="4" t="s">
        <v>2876</v>
      </c>
      <c r="Q11" s="4" t="s">
        <v>2877</v>
      </c>
      <c r="R11" s="4" t="s">
        <v>2552</v>
      </c>
      <c r="S11" s="4" t="s">
        <v>2721</v>
      </c>
      <c r="T11" s="4" t="str">
        <f>HYPERLINK("http://slimages.macys.com/is/image/MCY/11437141 ")</f>
        <v xml:space="preserve">http://slimages.macys.com/is/image/MCY/11437141 </v>
      </c>
    </row>
    <row r="12" spans="1:20" ht="15" customHeight="1" x14ac:dyDescent="0.25">
      <c r="A12" s="4" t="s">
        <v>2489</v>
      </c>
      <c r="B12" s="2" t="s">
        <v>2487</v>
      </c>
      <c r="C12" s="2" t="s">
        <v>2488</v>
      </c>
      <c r="D12" s="5" t="s">
        <v>2490</v>
      </c>
      <c r="E12" s="4" t="s">
        <v>2491</v>
      </c>
      <c r="F12" s="6">
        <v>14210606</v>
      </c>
      <c r="G12" s="3">
        <v>14210606</v>
      </c>
      <c r="H12" s="7">
        <v>194753984226</v>
      </c>
      <c r="I12" s="8" t="s">
        <v>112</v>
      </c>
      <c r="J12" s="4">
        <v>1</v>
      </c>
      <c r="K12" s="9">
        <v>59.5</v>
      </c>
      <c r="L12" s="9">
        <v>59.5</v>
      </c>
      <c r="M12" s="4" t="s">
        <v>113</v>
      </c>
      <c r="N12" s="4" t="s">
        <v>2614</v>
      </c>
      <c r="O12" s="4"/>
      <c r="P12" s="4" t="s">
        <v>2985</v>
      </c>
      <c r="Q12" s="4" t="s">
        <v>2715</v>
      </c>
      <c r="R12" s="4"/>
      <c r="S12" s="4"/>
      <c r="T12" s="4" t="str">
        <f>HYPERLINK("http://slimages.macys.com/is/image/MCY/20349545 ")</f>
        <v xml:space="preserve">http://slimages.macys.com/is/image/MCY/20349545 </v>
      </c>
    </row>
    <row r="13" spans="1:20" ht="15" customHeight="1" x14ac:dyDescent="0.25">
      <c r="A13" s="4" t="s">
        <v>2489</v>
      </c>
      <c r="B13" s="2" t="s">
        <v>2487</v>
      </c>
      <c r="C13" s="2" t="s">
        <v>2488</v>
      </c>
      <c r="D13" s="5" t="s">
        <v>2490</v>
      </c>
      <c r="E13" s="4" t="s">
        <v>2491</v>
      </c>
      <c r="F13" s="6">
        <v>14210606</v>
      </c>
      <c r="G13" s="3">
        <v>14210606</v>
      </c>
      <c r="H13" s="7">
        <v>742728753508</v>
      </c>
      <c r="I13" s="8" t="s">
        <v>3405</v>
      </c>
      <c r="J13" s="4">
        <v>1</v>
      </c>
      <c r="K13" s="9">
        <v>16.989999999999998</v>
      </c>
      <c r="L13" s="9">
        <v>16.989999999999998</v>
      </c>
      <c r="M13" s="4" t="s">
        <v>3406</v>
      </c>
      <c r="N13" s="4" t="s">
        <v>2501</v>
      </c>
      <c r="O13" s="4" t="s">
        <v>2653</v>
      </c>
      <c r="P13" s="4" t="s">
        <v>2619</v>
      </c>
      <c r="Q13" s="4" t="s">
        <v>2733</v>
      </c>
      <c r="R13" s="4"/>
      <c r="S13" s="4"/>
      <c r="T13" s="4" t="str">
        <f>HYPERLINK("http://slimages.macys.com/is/image/MCY/19696299 ")</f>
        <v xml:space="preserve">http://slimages.macys.com/is/image/MCY/19696299 </v>
      </c>
    </row>
    <row r="14" spans="1:20" ht="15" customHeight="1" x14ac:dyDescent="0.25">
      <c r="A14" s="4" t="s">
        <v>2489</v>
      </c>
      <c r="B14" s="2" t="s">
        <v>2487</v>
      </c>
      <c r="C14" s="2" t="s">
        <v>2488</v>
      </c>
      <c r="D14" s="5" t="s">
        <v>2490</v>
      </c>
      <c r="E14" s="4" t="s">
        <v>2491</v>
      </c>
      <c r="F14" s="6">
        <v>14210606</v>
      </c>
      <c r="G14" s="3">
        <v>14210606</v>
      </c>
      <c r="H14" s="7">
        <v>194135555273</v>
      </c>
      <c r="I14" s="8" t="s">
        <v>114</v>
      </c>
      <c r="J14" s="4">
        <v>1</v>
      </c>
      <c r="K14" s="9">
        <v>9.98</v>
      </c>
      <c r="L14" s="9">
        <v>9.98</v>
      </c>
      <c r="M14" s="4" t="s">
        <v>115</v>
      </c>
      <c r="N14" s="4"/>
      <c r="O14" s="4" t="s">
        <v>2705</v>
      </c>
      <c r="P14" s="4" t="s">
        <v>2657</v>
      </c>
      <c r="Q14" s="4" t="s">
        <v>2716</v>
      </c>
      <c r="R14" s="4"/>
      <c r="S14" s="4"/>
      <c r="T14" s="4" t="str">
        <f>HYPERLINK("http://slimages.macys.com/is/image/MCY/19911475 ")</f>
        <v xml:space="preserve">http://slimages.macys.com/is/image/MCY/19911475 </v>
      </c>
    </row>
    <row r="15" spans="1:20" ht="15" customHeight="1" x14ac:dyDescent="0.25">
      <c r="A15" s="4" t="s">
        <v>2489</v>
      </c>
      <c r="B15" s="2" t="s">
        <v>2487</v>
      </c>
      <c r="C15" s="2" t="s">
        <v>2488</v>
      </c>
      <c r="D15" s="5" t="s">
        <v>2490</v>
      </c>
      <c r="E15" s="4" t="s">
        <v>2491</v>
      </c>
      <c r="F15" s="6">
        <v>14210606</v>
      </c>
      <c r="G15" s="3">
        <v>14210606</v>
      </c>
      <c r="H15" s="7">
        <v>733004295225</v>
      </c>
      <c r="I15" s="8" t="s">
        <v>116</v>
      </c>
      <c r="J15" s="4">
        <v>1</v>
      </c>
      <c r="K15" s="9">
        <v>7.99</v>
      </c>
      <c r="L15" s="9">
        <v>7.99</v>
      </c>
      <c r="M15" s="4" t="s">
        <v>117</v>
      </c>
      <c r="N15" s="4" t="s">
        <v>2518</v>
      </c>
      <c r="O15" s="4" t="s">
        <v>2650</v>
      </c>
      <c r="P15" s="4" t="s">
        <v>2503</v>
      </c>
      <c r="Q15" s="4" t="s">
        <v>2504</v>
      </c>
      <c r="R15" s="4"/>
      <c r="S15" s="4"/>
      <c r="T15" s="4" t="str">
        <f>HYPERLINK("http://slimages.macys.com/is/image/MCY/19754501 ")</f>
        <v xml:space="preserve">http://slimages.macys.com/is/image/MCY/19754501 </v>
      </c>
    </row>
    <row r="16" spans="1:20" ht="15" customHeight="1" x14ac:dyDescent="0.25">
      <c r="A16" s="4" t="s">
        <v>2489</v>
      </c>
      <c r="B16" s="2" t="s">
        <v>2487</v>
      </c>
      <c r="C16" s="2" t="s">
        <v>2488</v>
      </c>
      <c r="D16" s="5" t="s">
        <v>2490</v>
      </c>
      <c r="E16" s="4" t="s">
        <v>2491</v>
      </c>
      <c r="F16" s="6">
        <v>14210606</v>
      </c>
      <c r="G16" s="3">
        <v>14210606</v>
      </c>
      <c r="H16" s="7">
        <v>733004290374</v>
      </c>
      <c r="I16" s="8" t="s">
        <v>118</v>
      </c>
      <c r="J16" s="4">
        <v>3</v>
      </c>
      <c r="K16" s="9">
        <v>6.99</v>
      </c>
      <c r="L16" s="9">
        <v>20.97</v>
      </c>
      <c r="M16" s="4" t="s">
        <v>119</v>
      </c>
      <c r="N16" s="4" t="s">
        <v>2665</v>
      </c>
      <c r="O16" s="4" t="s">
        <v>2566</v>
      </c>
      <c r="P16" s="4" t="s">
        <v>2503</v>
      </c>
      <c r="Q16" s="4" t="s">
        <v>2504</v>
      </c>
      <c r="R16" s="4"/>
      <c r="S16" s="4"/>
      <c r="T16" s="4" t="str">
        <f>HYPERLINK("http://slimages.macys.com/is/image/MCY/19746503 ")</f>
        <v xml:space="preserve">http://slimages.macys.com/is/image/MCY/19746503 </v>
      </c>
    </row>
    <row r="17" spans="1:20" ht="15" customHeight="1" x14ac:dyDescent="0.25">
      <c r="A17" s="4" t="s">
        <v>2489</v>
      </c>
      <c r="B17" s="2" t="s">
        <v>2487</v>
      </c>
      <c r="C17" s="2" t="s">
        <v>2488</v>
      </c>
      <c r="D17" s="5" t="s">
        <v>2490</v>
      </c>
      <c r="E17" s="4" t="s">
        <v>2491</v>
      </c>
      <c r="F17" s="6">
        <v>14210606</v>
      </c>
      <c r="G17" s="3">
        <v>14210606</v>
      </c>
      <c r="H17" s="7">
        <v>733001175810</v>
      </c>
      <c r="I17" s="8" t="s">
        <v>3364</v>
      </c>
      <c r="J17" s="4">
        <v>2</v>
      </c>
      <c r="K17" s="9">
        <v>7.99</v>
      </c>
      <c r="L17" s="9">
        <v>15.98</v>
      </c>
      <c r="M17" s="4" t="s">
        <v>3365</v>
      </c>
      <c r="N17" s="4" t="s">
        <v>2501</v>
      </c>
      <c r="O17" s="4" t="s">
        <v>2629</v>
      </c>
      <c r="P17" s="4" t="s">
        <v>2503</v>
      </c>
      <c r="Q17" s="4" t="s">
        <v>2504</v>
      </c>
      <c r="R17" s="4"/>
      <c r="S17" s="4"/>
      <c r="T17" s="4" t="str">
        <f>HYPERLINK("http://slimages.macys.com/is/image/MCY/17661733 ")</f>
        <v xml:space="preserve">http://slimages.macys.com/is/image/MCY/17661733 </v>
      </c>
    </row>
    <row r="18" spans="1:20" ht="15" customHeight="1" x14ac:dyDescent="0.25">
      <c r="A18" s="4" t="s">
        <v>2489</v>
      </c>
      <c r="B18" s="2" t="s">
        <v>2487</v>
      </c>
      <c r="C18" s="2" t="s">
        <v>2488</v>
      </c>
      <c r="D18" s="5" t="s">
        <v>2490</v>
      </c>
      <c r="E18" s="4" t="s">
        <v>2491</v>
      </c>
      <c r="F18" s="6">
        <v>14210606</v>
      </c>
      <c r="G18" s="3">
        <v>14210606</v>
      </c>
      <c r="H18" s="7">
        <v>195883817798</v>
      </c>
      <c r="I18" s="8" t="s">
        <v>1069</v>
      </c>
      <c r="J18" s="4">
        <v>1</v>
      </c>
      <c r="K18" s="9">
        <v>18.989999999999998</v>
      </c>
      <c r="L18" s="9">
        <v>18.989999999999998</v>
      </c>
      <c r="M18" s="4" t="s">
        <v>1070</v>
      </c>
      <c r="N18" s="4" t="s">
        <v>2501</v>
      </c>
      <c r="O18" s="4">
        <v>5</v>
      </c>
      <c r="P18" s="4" t="s">
        <v>2536</v>
      </c>
      <c r="Q18" s="4" t="s">
        <v>2944</v>
      </c>
      <c r="R18" s="4"/>
      <c r="S18" s="4"/>
      <c r="T18" s="4"/>
    </row>
    <row r="19" spans="1:20" ht="15" customHeight="1" x14ac:dyDescent="0.25">
      <c r="A19" s="4" t="s">
        <v>2489</v>
      </c>
      <c r="B19" s="2" t="s">
        <v>2487</v>
      </c>
      <c r="C19" s="2" t="s">
        <v>2488</v>
      </c>
      <c r="D19" s="5" t="s">
        <v>2490</v>
      </c>
      <c r="E19" s="4" t="s">
        <v>2491</v>
      </c>
      <c r="F19" s="6">
        <v>14210606</v>
      </c>
      <c r="G19" s="3">
        <v>14210606</v>
      </c>
      <c r="H19" s="7">
        <v>195883817583</v>
      </c>
      <c r="I19" s="8" t="s">
        <v>450</v>
      </c>
      <c r="J19" s="4">
        <v>1</v>
      </c>
      <c r="K19" s="9">
        <v>18.989999999999998</v>
      </c>
      <c r="L19" s="9">
        <v>18.989999999999998</v>
      </c>
      <c r="M19" s="4" t="s">
        <v>451</v>
      </c>
      <c r="N19" s="4" t="s">
        <v>2501</v>
      </c>
      <c r="O19" s="4" t="s">
        <v>2705</v>
      </c>
      <c r="P19" s="4" t="s">
        <v>2536</v>
      </c>
      <c r="Q19" s="4" t="s">
        <v>2944</v>
      </c>
      <c r="R19" s="4"/>
      <c r="S19" s="4"/>
      <c r="T19" s="4"/>
    </row>
    <row r="20" spans="1:20" ht="15" customHeight="1" x14ac:dyDescent="0.25">
      <c r="A20" s="4" t="s">
        <v>2489</v>
      </c>
      <c r="B20" s="2" t="s">
        <v>2487</v>
      </c>
      <c r="C20" s="2" t="s">
        <v>2488</v>
      </c>
      <c r="D20" s="5" t="s">
        <v>2490</v>
      </c>
      <c r="E20" s="4" t="s">
        <v>2491</v>
      </c>
      <c r="F20" s="6">
        <v>14210606</v>
      </c>
      <c r="G20" s="3">
        <v>14210606</v>
      </c>
      <c r="H20" s="7">
        <v>195958234239</v>
      </c>
      <c r="I20" s="8" t="s">
        <v>1537</v>
      </c>
      <c r="J20" s="4">
        <v>1</v>
      </c>
      <c r="K20" s="9">
        <v>24.99</v>
      </c>
      <c r="L20" s="9">
        <v>24.99</v>
      </c>
      <c r="M20" s="4" t="s">
        <v>1522</v>
      </c>
      <c r="N20" s="4"/>
      <c r="O20" s="4" t="s">
        <v>2524</v>
      </c>
      <c r="P20" s="4" t="s">
        <v>2956</v>
      </c>
      <c r="Q20" s="4" t="s">
        <v>3383</v>
      </c>
      <c r="R20" s="4"/>
      <c r="S20" s="4"/>
      <c r="T20" s="4" t="str">
        <f>HYPERLINK("http://slimages.macys.com/is/image/MCY/20015693 ")</f>
        <v xml:space="preserve">http://slimages.macys.com/is/image/MCY/20015693 </v>
      </c>
    </row>
    <row r="21" spans="1:20" ht="15" customHeight="1" x14ac:dyDescent="0.25">
      <c r="A21" s="4" t="s">
        <v>2489</v>
      </c>
      <c r="B21" s="2" t="s">
        <v>2487</v>
      </c>
      <c r="C21" s="2" t="s">
        <v>2488</v>
      </c>
      <c r="D21" s="5" t="s">
        <v>2490</v>
      </c>
      <c r="E21" s="4" t="s">
        <v>2491</v>
      </c>
      <c r="F21" s="6">
        <v>14210606</v>
      </c>
      <c r="G21" s="3">
        <v>14210606</v>
      </c>
      <c r="H21" s="7">
        <v>733004591891</v>
      </c>
      <c r="I21" s="8" t="s">
        <v>1612</v>
      </c>
      <c r="J21" s="4">
        <v>1</v>
      </c>
      <c r="K21" s="9">
        <v>14.99</v>
      </c>
      <c r="L21" s="9">
        <v>14.99</v>
      </c>
      <c r="M21" s="4">
        <v>10013151100</v>
      </c>
      <c r="N21" s="4" t="s">
        <v>2505</v>
      </c>
      <c r="O21" s="4" t="s">
        <v>2601</v>
      </c>
      <c r="P21" s="4" t="s">
        <v>2503</v>
      </c>
      <c r="Q21" s="4" t="s">
        <v>2504</v>
      </c>
      <c r="R21" s="4"/>
      <c r="S21" s="4"/>
      <c r="T21" s="4" t="str">
        <f>HYPERLINK("http://slimages.macys.com/is/image/MCY/19755878 ")</f>
        <v xml:space="preserve">http://slimages.macys.com/is/image/MCY/19755878 </v>
      </c>
    </row>
    <row r="22" spans="1:20" ht="15" customHeight="1" x14ac:dyDescent="0.25">
      <c r="A22" s="4" t="s">
        <v>2489</v>
      </c>
      <c r="B22" s="2" t="s">
        <v>2487</v>
      </c>
      <c r="C22" s="2" t="s">
        <v>2488</v>
      </c>
      <c r="D22" s="5" t="s">
        <v>2490</v>
      </c>
      <c r="E22" s="4" t="s">
        <v>2491</v>
      </c>
      <c r="F22" s="6">
        <v>14210606</v>
      </c>
      <c r="G22" s="3">
        <v>14210606</v>
      </c>
      <c r="H22" s="7">
        <v>194135476134</v>
      </c>
      <c r="I22" s="8" t="s">
        <v>120</v>
      </c>
      <c r="J22" s="4">
        <v>1</v>
      </c>
      <c r="K22" s="9">
        <v>12.78</v>
      </c>
      <c r="L22" s="9">
        <v>12.78</v>
      </c>
      <c r="M22" s="4" t="s">
        <v>121</v>
      </c>
      <c r="N22" s="4"/>
      <c r="O22" s="4" t="s">
        <v>2502</v>
      </c>
      <c r="P22" s="4" t="s">
        <v>2494</v>
      </c>
      <c r="Q22" s="4" t="s">
        <v>2560</v>
      </c>
      <c r="R22" s="4"/>
      <c r="S22" s="4"/>
      <c r="T22" s="4" t="str">
        <f>HYPERLINK("http://slimages.macys.com/is/image/MCY/19858586 ")</f>
        <v xml:space="preserve">http://slimages.macys.com/is/image/MCY/19858586 </v>
      </c>
    </row>
    <row r="23" spans="1:20" ht="15" customHeight="1" x14ac:dyDescent="0.25">
      <c r="A23" s="4" t="s">
        <v>2489</v>
      </c>
      <c r="B23" s="2" t="s">
        <v>2487</v>
      </c>
      <c r="C23" s="2" t="s">
        <v>2488</v>
      </c>
      <c r="D23" s="5" t="s">
        <v>2490</v>
      </c>
      <c r="E23" s="4" t="s">
        <v>2491</v>
      </c>
      <c r="F23" s="6">
        <v>14210606</v>
      </c>
      <c r="G23" s="3">
        <v>14210606</v>
      </c>
      <c r="H23" s="7">
        <v>640013131133</v>
      </c>
      <c r="I23" s="8" t="s">
        <v>2025</v>
      </c>
      <c r="J23" s="4">
        <v>2</v>
      </c>
      <c r="K23" s="9">
        <v>13.99</v>
      </c>
      <c r="L23" s="9">
        <v>27.98</v>
      </c>
      <c r="M23" s="4" t="s">
        <v>1877</v>
      </c>
      <c r="N23" s="4" t="s">
        <v>2501</v>
      </c>
      <c r="O23" s="4" t="s">
        <v>2555</v>
      </c>
      <c r="P23" s="4" t="s">
        <v>2556</v>
      </c>
      <c r="Q23" s="4" t="s">
        <v>2557</v>
      </c>
      <c r="R23" s="4"/>
      <c r="S23" s="4"/>
      <c r="T23" s="4" t="str">
        <f>HYPERLINK("http://slimages.macys.com/is/image/MCY/20490711 ")</f>
        <v xml:space="preserve">http://slimages.macys.com/is/image/MCY/20490711 </v>
      </c>
    </row>
    <row r="24" spans="1:20" ht="15" customHeight="1" x14ac:dyDescent="0.25">
      <c r="A24" s="4" t="s">
        <v>2489</v>
      </c>
      <c r="B24" s="2" t="s">
        <v>2487</v>
      </c>
      <c r="C24" s="2" t="s">
        <v>2488</v>
      </c>
      <c r="D24" s="5" t="s">
        <v>2490</v>
      </c>
      <c r="E24" s="4" t="s">
        <v>2491</v>
      </c>
      <c r="F24" s="6">
        <v>14210606</v>
      </c>
      <c r="G24" s="3">
        <v>14210606</v>
      </c>
      <c r="H24" s="7">
        <v>640013994578</v>
      </c>
      <c r="I24" s="8" t="s">
        <v>122</v>
      </c>
      <c r="J24" s="4">
        <v>1</v>
      </c>
      <c r="K24" s="9">
        <v>10</v>
      </c>
      <c r="L24" s="9">
        <v>10</v>
      </c>
      <c r="M24" s="4" t="s">
        <v>123</v>
      </c>
      <c r="N24" s="4" t="s">
        <v>2676</v>
      </c>
      <c r="O24" s="4" t="s">
        <v>2519</v>
      </c>
      <c r="P24" s="4" t="s">
        <v>2556</v>
      </c>
      <c r="Q24" s="4" t="s">
        <v>2557</v>
      </c>
      <c r="R24" s="4"/>
      <c r="S24" s="4"/>
      <c r="T24" s="4" t="str">
        <f>HYPERLINK("http://slimages.macys.com/is/image/MCY/20443653 ")</f>
        <v xml:space="preserve">http://slimages.macys.com/is/image/MCY/20443653 </v>
      </c>
    </row>
    <row r="25" spans="1:20" ht="15" customHeight="1" x14ac:dyDescent="0.25">
      <c r="A25" s="4" t="s">
        <v>2489</v>
      </c>
      <c r="B25" s="2" t="s">
        <v>2487</v>
      </c>
      <c r="C25" s="2" t="s">
        <v>2488</v>
      </c>
      <c r="D25" s="5" t="s">
        <v>2490</v>
      </c>
      <c r="E25" s="4" t="s">
        <v>2491</v>
      </c>
      <c r="F25" s="6">
        <v>14210606</v>
      </c>
      <c r="G25" s="3">
        <v>14210606</v>
      </c>
      <c r="H25" s="7">
        <v>640013131157</v>
      </c>
      <c r="I25" s="8" t="s">
        <v>1893</v>
      </c>
      <c r="J25" s="4">
        <v>1</v>
      </c>
      <c r="K25" s="9">
        <v>13.99</v>
      </c>
      <c r="L25" s="9">
        <v>13.99</v>
      </c>
      <c r="M25" s="4" t="s">
        <v>1877</v>
      </c>
      <c r="N25" s="4" t="s">
        <v>2501</v>
      </c>
      <c r="O25" s="4" t="s">
        <v>2532</v>
      </c>
      <c r="P25" s="4" t="s">
        <v>2556</v>
      </c>
      <c r="Q25" s="4" t="s">
        <v>2557</v>
      </c>
      <c r="R25" s="4"/>
      <c r="S25" s="4"/>
      <c r="T25" s="4" t="str">
        <f>HYPERLINK("http://slimages.macys.com/is/image/MCY/20490711 ")</f>
        <v xml:space="preserve">http://slimages.macys.com/is/image/MCY/20490711 </v>
      </c>
    </row>
    <row r="26" spans="1:20" ht="15" customHeight="1" x14ac:dyDescent="0.25">
      <c r="A26" s="4" t="s">
        <v>2489</v>
      </c>
      <c r="B26" s="2" t="s">
        <v>2487</v>
      </c>
      <c r="C26" s="2" t="s">
        <v>2488</v>
      </c>
      <c r="D26" s="5" t="s">
        <v>2490</v>
      </c>
      <c r="E26" s="4" t="s">
        <v>2491</v>
      </c>
      <c r="F26" s="6">
        <v>14210606</v>
      </c>
      <c r="G26" s="3">
        <v>14210606</v>
      </c>
      <c r="H26" s="7">
        <v>194135298729</v>
      </c>
      <c r="I26" s="8" t="s">
        <v>124</v>
      </c>
      <c r="J26" s="4">
        <v>1</v>
      </c>
      <c r="K26" s="9">
        <v>16.149999999999999</v>
      </c>
      <c r="L26" s="9">
        <v>16.149999999999999</v>
      </c>
      <c r="M26" s="4" t="s">
        <v>2002</v>
      </c>
      <c r="N26" s="4" t="s">
        <v>2523</v>
      </c>
      <c r="O26" s="4" t="s">
        <v>2493</v>
      </c>
      <c r="P26" s="4" t="s">
        <v>2494</v>
      </c>
      <c r="Q26" s="4" t="s">
        <v>2495</v>
      </c>
      <c r="R26" s="4"/>
      <c r="S26" s="4"/>
      <c r="T26" s="4" t="str">
        <f>HYPERLINK("http://slimages.macys.com/is/image/MCY/19146676 ")</f>
        <v xml:space="preserve">http://slimages.macys.com/is/image/MCY/19146676 </v>
      </c>
    </row>
    <row r="27" spans="1:20" ht="15" customHeight="1" x14ac:dyDescent="0.25">
      <c r="A27" s="4" t="s">
        <v>2489</v>
      </c>
      <c r="B27" s="2" t="s">
        <v>2487</v>
      </c>
      <c r="C27" s="2" t="s">
        <v>2488</v>
      </c>
      <c r="D27" s="5" t="s">
        <v>2490</v>
      </c>
      <c r="E27" s="4" t="s">
        <v>2491</v>
      </c>
      <c r="F27" s="6">
        <v>14210606</v>
      </c>
      <c r="G27" s="3">
        <v>14210606</v>
      </c>
      <c r="H27" s="7">
        <v>733001452867</v>
      </c>
      <c r="I27" s="8" t="s">
        <v>125</v>
      </c>
      <c r="J27" s="4">
        <v>1</v>
      </c>
      <c r="K27" s="9">
        <v>2.99</v>
      </c>
      <c r="L27" s="9">
        <v>2.99</v>
      </c>
      <c r="M27" s="4" t="s">
        <v>3319</v>
      </c>
      <c r="N27" s="4" t="s">
        <v>2497</v>
      </c>
      <c r="O27" s="4" t="s">
        <v>2816</v>
      </c>
      <c r="P27" s="4" t="s">
        <v>2503</v>
      </c>
      <c r="Q27" s="4" t="s">
        <v>3320</v>
      </c>
      <c r="R27" s="4"/>
      <c r="S27" s="4"/>
      <c r="T27" s="4" t="str">
        <f>HYPERLINK("http://slimages.macys.com/is/image/MCY/17663447 ")</f>
        <v xml:space="preserve">http://slimages.macys.com/is/image/MCY/17663447 </v>
      </c>
    </row>
    <row r="28" spans="1:20" ht="15" customHeight="1" x14ac:dyDescent="0.25">
      <c r="A28" s="4" t="s">
        <v>2489</v>
      </c>
      <c r="B28" s="2" t="s">
        <v>2487</v>
      </c>
      <c r="C28" s="2" t="s">
        <v>2488</v>
      </c>
      <c r="D28" s="5" t="s">
        <v>2490</v>
      </c>
      <c r="E28" s="4" t="s">
        <v>2491</v>
      </c>
      <c r="F28" s="6">
        <v>14210606</v>
      </c>
      <c r="G28" s="3">
        <v>14210606</v>
      </c>
      <c r="H28" s="7">
        <v>195958157149</v>
      </c>
      <c r="I28" s="8" t="s">
        <v>126</v>
      </c>
      <c r="J28" s="4">
        <v>1</v>
      </c>
      <c r="K28" s="9">
        <v>24.5</v>
      </c>
      <c r="L28" s="9">
        <v>24.5</v>
      </c>
      <c r="M28" s="4" t="s">
        <v>127</v>
      </c>
      <c r="N28" s="4" t="s">
        <v>2804</v>
      </c>
      <c r="O28" s="4" t="s">
        <v>2524</v>
      </c>
      <c r="P28" s="4" t="s">
        <v>2876</v>
      </c>
      <c r="Q28" s="4" t="s">
        <v>2877</v>
      </c>
      <c r="R28" s="4"/>
      <c r="S28" s="4"/>
      <c r="T28" s="4" t="str">
        <f>HYPERLINK("http://slimages.macys.com/is/image/MCY/19705140 ")</f>
        <v xml:space="preserve">http://slimages.macys.com/is/image/MCY/19705140 </v>
      </c>
    </row>
    <row r="29" spans="1:20" ht="15" customHeight="1" x14ac:dyDescent="0.25">
      <c r="A29" s="4" t="s">
        <v>2489</v>
      </c>
      <c r="B29" s="2" t="s">
        <v>2487</v>
      </c>
      <c r="C29" s="2" t="s">
        <v>2488</v>
      </c>
      <c r="D29" s="5" t="s">
        <v>2490</v>
      </c>
      <c r="E29" s="4" t="s">
        <v>2491</v>
      </c>
      <c r="F29" s="6">
        <v>14210606</v>
      </c>
      <c r="G29" s="3">
        <v>14210606</v>
      </c>
      <c r="H29" s="7">
        <v>195438269270</v>
      </c>
      <c r="I29" s="8" t="s">
        <v>128</v>
      </c>
      <c r="J29" s="4">
        <v>1</v>
      </c>
      <c r="K29" s="9">
        <v>139</v>
      </c>
      <c r="L29" s="9">
        <v>139</v>
      </c>
      <c r="M29" s="4" t="s">
        <v>129</v>
      </c>
      <c r="N29" s="4" t="s">
        <v>2526</v>
      </c>
      <c r="O29" s="4"/>
      <c r="P29" s="4" t="s">
        <v>2550</v>
      </c>
      <c r="Q29" s="4" t="s">
        <v>2873</v>
      </c>
      <c r="R29" s="4"/>
      <c r="S29" s="4"/>
      <c r="T29" s="4" t="str">
        <f>HYPERLINK("http://slimages.macys.com/is/image/MCY/20113139 ")</f>
        <v xml:space="preserve">http://slimages.macys.com/is/image/MCY/20113139 </v>
      </c>
    </row>
    <row r="30" spans="1:20" ht="15" customHeight="1" x14ac:dyDescent="0.25">
      <c r="A30" s="4" t="s">
        <v>2489</v>
      </c>
      <c r="B30" s="2" t="s">
        <v>2487</v>
      </c>
      <c r="C30" s="2" t="s">
        <v>2488</v>
      </c>
      <c r="D30" s="5" t="s">
        <v>2490</v>
      </c>
      <c r="E30" s="4" t="s">
        <v>2491</v>
      </c>
      <c r="F30" s="6">
        <v>14210606</v>
      </c>
      <c r="G30" s="3">
        <v>14210606</v>
      </c>
      <c r="H30" s="7">
        <v>194068888363</v>
      </c>
      <c r="I30" s="8" t="s">
        <v>130</v>
      </c>
      <c r="J30" s="4">
        <v>1</v>
      </c>
      <c r="K30" s="9">
        <v>50</v>
      </c>
      <c r="L30" s="9">
        <v>50</v>
      </c>
      <c r="M30" s="4" t="s">
        <v>131</v>
      </c>
      <c r="N30" s="4" t="s">
        <v>2526</v>
      </c>
      <c r="O30" s="4" t="s">
        <v>2772</v>
      </c>
      <c r="P30" s="4" t="s">
        <v>2510</v>
      </c>
      <c r="Q30" s="4" t="s">
        <v>2700</v>
      </c>
      <c r="R30" s="4"/>
      <c r="S30" s="4"/>
      <c r="T30" s="4" t="str">
        <f>HYPERLINK("http://slimages.macys.com/is/image/MCY/18086081 ")</f>
        <v xml:space="preserve">http://slimages.macys.com/is/image/MCY/18086081 </v>
      </c>
    </row>
    <row r="31" spans="1:20" ht="15" customHeight="1" x14ac:dyDescent="0.25">
      <c r="A31" s="4" t="s">
        <v>2489</v>
      </c>
      <c r="B31" s="2" t="s">
        <v>2487</v>
      </c>
      <c r="C31" s="2" t="s">
        <v>2488</v>
      </c>
      <c r="D31" s="5" t="s">
        <v>2490</v>
      </c>
      <c r="E31" s="4" t="s">
        <v>2491</v>
      </c>
      <c r="F31" s="6">
        <v>14210606</v>
      </c>
      <c r="G31" s="3">
        <v>14210606</v>
      </c>
      <c r="H31" s="7">
        <v>194654630970</v>
      </c>
      <c r="I31" s="8" t="s">
        <v>132</v>
      </c>
      <c r="J31" s="4">
        <v>1</v>
      </c>
      <c r="K31" s="9">
        <v>46</v>
      </c>
      <c r="L31" s="9">
        <v>46</v>
      </c>
      <c r="M31" s="4" t="s">
        <v>133</v>
      </c>
      <c r="N31" s="4" t="s">
        <v>2523</v>
      </c>
      <c r="O31" s="4">
        <v>5</v>
      </c>
      <c r="P31" s="4" t="s">
        <v>2510</v>
      </c>
      <c r="Q31" s="4" t="s">
        <v>2549</v>
      </c>
      <c r="R31" s="4"/>
      <c r="S31" s="4"/>
      <c r="T31" s="4" t="str">
        <f>HYPERLINK("http://slimages.macys.com/is/image/MCY/20018503 ")</f>
        <v xml:space="preserve">http://slimages.macys.com/is/image/MCY/20018503 </v>
      </c>
    </row>
    <row r="32" spans="1:20" ht="15" customHeight="1" x14ac:dyDescent="0.25">
      <c r="A32" s="4" t="s">
        <v>2489</v>
      </c>
      <c r="B32" s="2" t="s">
        <v>2487</v>
      </c>
      <c r="C32" s="2" t="s">
        <v>2488</v>
      </c>
      <c r="D32" s="5" t="s">
        <v>2490</v>
      </c>
      <c r="E32" s="4" t="s">
        <v>2491</v>
      </c>
      <c r="F32" s="6">
        <v>14210606</v>
      </c>
      <c r="G32" s="3">
        <v>14210606</v>
      </c>
      <c r="H32" s="7">
        <v>193605211114</v>
      </c>
      <c r="I32" s="8" t="s">
        <v>134</v>
      </c>
      <c r="J32" s="4">
        <v>1</v>
      </c>
      <c r="K32" s="9">
        <v>35</v>
      </c>
      <c r="L32" s="9">
        <v>35</v>
      </c>
      <c r="M32" s="4" t="s">
        <v>135</v>
      </c>
      <c r="N32" s="4" t="s">
        <v>2567</v>
      </c>
      <c r="O32" s="4" t="s">
        <v>3167</v>
      </c>
      <c r="P32" s="4" t="s">
        <v>2510</v>
      </c>
      <c r="Q32" s="4" t="s">
        <v>2511</v>
      </c>
      <c r="R32" s="4" t="s">
        <v>2552</v>
      </c>
      <c r="S32" s="4" t="s">
        <v>136</v>
      </c>
      <c r="T32" s="4" t="str">
        <f>HYPERLINK("http://slimages.macys.com/is/image/MCY/16666466 ")</f>
        <v xml:space="preserve">http://slimages.macys.com/is/image/MCY/16666466 </v>
      </c>
    </row>
    <row r="33" spans="1:20" ht="15" customHeight="1" x14ac:dyDescent="0.25">
      <c r="A33" s="4" t="s">
        <v>2489</v>
      </c>
      <c r="B33" s="2" t="s">
        <v>2487</v>
      </c>
      <c r="C33" s="2" t="s">
        <v>2488</v>
      </c>
      <c r="D33" s="5" t="s">
        <v>2490</v>
      </c>
      <c r="E33" s="4" t="s">
        <v>2491</v>
      </c>
      <c r="F33" s="6">
        <v>14210606</v>
      </c>
      <c r="G33" s="3">
        <v>14210606</v>
      </c>
      <c r="H33" s="7">
        <v>193605628691</v>
      </c>
      <c r="I33" s="8" t="s">
        <v>137</v>
      </c>
      <c r="J33" s="4">
        <v>1</v>
      </c>
      <c r="K33" s="9">
        <v>45</v>
      </c>
      <c r="L33" s="9">
        <v>45</v>
      </c>
      <c r="M33" s="4" t="s">
        <v>138</v>
      </c>
      <c r="N33" s="4" t="s">
        <v>2501</v>
      </c>
      <c r="O33" s="4" t="s">
        <v>1619</v>
      </c>
      <c r="P33" s="4" t="s">
        <v>2510</v>
      </c>
      <c r="Q33" s="4" t="s">
        <v>2511</v>
      </c>
      <c r="R33" s="4"/>
      <c r="S33" s="4"/>
      <c r="T33" s="4" t="str">
        <f>HYPERLINK("http://slimages.macys.com/is/image/MCY/19476915 ")</f>
        <v xml:space="preserve">http://slimages.macys.com/is/image/MCY/19476915 </v>
      </c>
    </row>
    <row r="34" spans="1:20" ht="15" customHeight="1" x14ac:dyDescent="0.25">
      <c r="A34" s="4" t="s">
        <v>2489</v>
      </c>
      <c r="B34" s="2" t="s">
        <v>2487</v>
      </c>
      <c r="C34" s="2" t="s">
        <v>2488</v>
      </c>
      <c r="D34" s="5" t="s">
        <v>2490</v>
      </c>
      <c r="E34" s="4" t="s">
        <v>2491</v>
      </c>
      <c r="F34" s="6">
        <v>14210606</v>
      </c>
      <c r="G34" s="3">
        <v>14210606</v>
      </c>
      <c r="H34" s="7">
        <v>194257394675</v>
      </c>
      <c r="I34" s="8" t="s">
        <v>139</v>
      </c>
      <c r="J34" s="4">
        <v>1</v>
      </c>
      <c r="K34" s="9">
        <v>9.99</v>
      </c>
      <c r="L34" s="9">
        <v>9.99</v>
      </c>
      <c r="M34" s="4" t="s">
        <v>91</v>
      </c>
      <c r="N34" s="4" t="s">
        <v>2501</v>
      </c>
      <c r="O34" s="4">
        <v>4</v>
      </c>
      <c r="P34" s="4" t="s">
        <v>2499</v>
      </c>
      <c r="Q34" s="4" t="s">
        <v>2525</v>
      </c>
      <c r="R34" s="4"/>
      <c r="S34" s="4"/>
      <c r="T34" s="4" t="str">
        <f>HYPERLINK("http://slimages.macys.com/is/image/MCY/20012391 ")</f>
        <v xml:space="preserve">http://slimages.macys.com/is/image/MCY/20012391 </v>
      </c>
    </row>
    <row r="35" spans="1:20" ht="15" customHeight="1" x14ac:dyDescent="0.25">
      <c r="A35" s="4" t="s">
        <v>2489</v>
      </c>
      <c r="B35" s="2" t="s">
        <v>2487</v>
      </c>
      <c r="C35" s="2" t="s">
        <v>2488</v>
      </c>
      <c r="D35" s="5" t="s">
        <v>2490</v>
      </c>
      <c r="E35" s="4" t="s">
        <v>2491</v>
      </c>
      <c r="F35" s="6">
        <v>14210606</v>
      </c>
      <c r="G35" s="3">
        <v>14210606</v>
      </c>
      <c r="H35" s="7">
        <v>194257392558</v>
      </c>
      <c r="I35" s="8" t="s">
        <v>140</v>
      </c>
      <c r="J35" s="4">
        <v>1</v>
      </c>
      <c r="K35" s="9">
        <v>16.989999999999998</v>
      </c>
      <c r="L35" s="9">
        <v>16.989999999999998</v>
      </c>
      <c r="M35" s="4" t="s">
        <v>2712</v>
      </c>
      <c r="N35" s="4" t="s">
        <v>2531</v>
      </c>
      <c r="O35" s="4">
        <v>5</v>
      </c>
      <c r="P35" s="4" t="s">
        <v>2499</v>
      </c>
      <c r="Q35" s="4" t="s">
        <v>2525</v>
      </c>
      <c r="R35" s="4"/>
      <c r="S35" s="4"/>
      <c r="T35" s="4" t="str">
        <f>HYPERLINK("http://slimages.macys.com/is/image/MCY/19065667 ")</f>
        <v xml:space="preserve">http://slimages.macys.com/is/image/MCY/19065667 </v>
      </c>
    </row>
    <row r="36" spans="1:20" ht="15" customHeight="1" x14ac:dyDescent="0.25">
      <c r="A36" s="4" t="s">
        <v>2489</v>
      </c>
      <c r="B36" s="2" t="s">
        <v>2487</v>
      </c>
      <c r="C36" s="2" t="s">
        <v>2488</v>
      </c>
      <c r="D36" s="5" t="s">
        <v>2490</v>
      </c>
      <c r="E36" s="4" t="s">
        <v>2491</v>
      </c>
      <c r="F36" s="6">
        <v>14210606</v>
      </c>
      <c r="G36" s="3">
        <v>14210606</v>
      </c>
      <c r="H36" s="7">
        <v>733003642716</v>
      </c>
      <c r="I36" s="8" t="s">
        <v>987</v>
      </c>
      <c r="J36" s="4">
        <v>2</v>
      </c>
      <c r="K36" s="9">
        <v>22.99</v>
      </c>
      <c r="L36" s="9">
        <v>45.98</v>
      </c>
      <c r="M36" s="4" t="s">
        <v>2513</v>
      </c>
      <c r="N36" s="4" t="s">
        <v>2514</v>
      </c>
      <c r="O36" s="4" t="s">
        <v>2519</v>
      </c>
      <c r="P36" s="4" t="s">
        <v>2515</v>
      </c>
      <c r="Q36" s="4" t="s">
        <v>2516</v>
      </c>
      <c r="R36" s="4"/>
      <c r="S36" s="4"/>
      <c r="T36" s="4" t="str">
        <f>HYPERLINK("http://slimages.macys.com/is/image/MCY/20008078 ")</f>
        <v xml:space="preserve">http://slimages.macys.com/is/image/MCY/20008078 </v>
      </c>
    </row>
    <row r="37" spans="1:20" ht="15" customHeight="1" x14ac:dyDescent="0.25">
      <c r="A37" s="4" t="s">
        <v>2489</v>
      </c>
      <c r="B37" s="2" t="s">
        <v>2487</v>
      </c>
      <c r="C37" s="2" t="s">
        <v>2488</v>
      </c>
      <c r="D37" s="5" t="s">
        <v>2490</v>
      </c>
      <c r="E37" s="4" t="s">
        <v>2491</v>
      </c>
      <c r="F37" s="6">
        <v>14210606</v>
      </c>
      <c r="G37" s="3">
        <v>14210606</v>
      </c>
      <c r="H37" s="7">
        <v>762120086226</v>
      </c>
      <c r="I37" s="8" t="s">
        <v>141</v>
      </c>
      <c r="J37" s="4">
        <v>1</v>
      </c>
      <c r="K37" s="9">
        <v>7.99</v>
      </c>
      <c r="L37" s="9">
        <v>7.99</v>
      </c>
      <c r="M37" s="4" t="s">
        <v>2806</v>
      </c>
      <c r="N37" s="4" t="s">
        <v>2530</v>
      </c>
      <c r="O37" s="4" t="s">
        <v>2629</v>
      </c>
      <c r="P37" s="4" t="s">
        <v>2602</v>
      </c>
      <c r="Q37" s="4" t="s">
        <v>2528</v>
      </c>
      <c r="R37" s="4"/>
      <c r="S37" s="4"/>
      <c r="T37" s="4" t="str">
        <f>HYPERLINK("http://slimages.macys.com/is/image/MCY/1086506 ")</f>
        <v xml:space="preserve">http://slimages.macys.com/is/image/MCY/1086506 </v>
      </c>
    </row>
    <row r="38" spans="1:20" ht="15" customHeight="1" x14ac:dyDescent="0.25">
      <c r="A38" s="4" t="s">
        <v>2489</v>
      </c>
      <c r="B38" s="2" t="s">
        <v>2487</v>
      </c>
      <c r="C38" s="2" t="s">
        <v>2488</v>
      </c>
      <c r="D38" s="5" t="s">
        <v>2490</v>
      </c>
      <c r="E38" s="4" t="s">
        <v>2491</v>
      </c>
      <c r="F38" s="6">
        <v>14210606</v>
      </c>
      <c r="G38" s="3">
        <v>14210606</v>
      </c>
      <c r="H38" s="7">
        <v>733003642747</v>
      </c>
      <c r="I38" s="8" t="s">
        <v>3388</v>
      </c>
      <c r="J38" s="4">
        <v>2</v>
      </c>
      <c r="K38" s="9">
        <v>22.99</v>
      </c>
      <c r="L38" s="9">
        <v>45.98</v>
      </c>
      <c r="M38" s="4" t="s">
        <v>2513</v>
      </c>
      <c r="N38" s="4" t="s">
        <v>2514</v>
      </c>
      <c r="O38" s="4" t="s">
        <v>2671</v>
      </c>
      <c r="P38" s="4" t="s">
        <v>2515</v>
      </c>
      <c r="Q38" s="4" t="s">
        <v>2516</v>
      </c>
      <c r="R38" s="4"/>
      <c r="S38" s="4"/>
      <c r="T38" s="4" t="str">
        <f>HYPERLINK("http://slimages.macys.com/is/image/MCY/20008078 ")</f>
        <v xml:space="preserve">http://slimages.macys.com/is/image/MCY/20008078 </v>
      </c>
    </row>
    <row r="39" spans="1:20" ht="15" customHeight="1" x14ac:dyDescent="0.25">
      <c r="A39" s="4" t="s">
        <v>2489</v>
      </c>
      <c r="B39" s="2" t="s">
        <v>2487</v>
      </c>
      <c r="C39" s="2" t="s">
        <v>2488</v>
      </c>
      <c r="D39" s="5" t="s">
        <v>2490</v>
      </c>
      <c r="E39" s="4" t="s">
        <v>2491</v>
      </c>
      <c r="F39" s="6">
        <v>14210606</v>
      </c>
      <c r="G39" s="3">
        <v>14210606</v>
      </c>
      <c r="H39" s="7">
        <v>733003643294</v>
      </c>
      <c r="I39" s="8" t="s">
        <v>142</v>
      </c>
      <c r="J39" s="4">
        <v>1</v>
      </c>
      <c r="K39" s="9">
        <v>21.99</v>
      </c>
      <c r="L39" s="9">
        <v>21.99</v>
      </c>
      <c r="M39" s="4" t="s">
        <v>2113</v>
      </c>
      <c r="N39" s="4" t="s">
        <v>2632</v>
      </c>
      <c r="O39" s="4" t="s">
        <v>2519</v>
      </c>
      <c r="P39" s="4" t="s">
        <v>2515</v>
      </c>
      <c r="Q39" s="4" t="s">
        <v>2516</v>
      </c>
      <c r="R39" s="4"/>
      <c r="S39" s="4"/>
      <c r="T39" s="4" t="str">
        <f>HYPERLINK("http://slimages.macys.com/is/image/MCY/20143256 ")</f>
        <v xml:space="preserve">http://slimages.macys.com/is/image/MCY/20143256 </v>
      </c>
    </row>
    <row r="40" spans="1:20" ht="15" customHeight="1" x14ac:dyDescent="0.25">
      <c r="A40" s="4" t="s">
        <v>2489</v>
      </c>
      <c r="B40" s="2" t="s">
        <v>2487</v>
      </c>
      <c r="C40" s="2" t="s">
        <v>2488</v>
      </c>
      <c r="D40" s="5" t="s">
        <v>2490</v>
      </c>
      <c r="E40" s="4" t="s">
        <v>2491</v>
      </c>
      <c r="F40" s="6">
        <v>14210606</v>
      </c>
      <c r="G40" s="3">
        <v>14210606</v>
      </c>
      <c r="H40" s="7">
        <v>733004780707</v>
      </c>
      <c r="I40" s="8" t="s">
        <v>3214</v>
      </c>
      <c r="J40" s="4">
        <v>1</v>
      </c>
      <c r="K40" s="9">
        <v>11.99</v>
      </c>
      <c r="L40" s="9">
        <v>11.99</v>
      </c>
      <c r="M40" s="4" t="s">
        <v>3083</v>
      </c>
      <c r="N40" s="4" t="s">
        <v>2638</v>
      </c>
      <c r="O40" s="4" t="s">
        <v>2629</v>
      </c>
      <c r="P40" s="4" t="s">
        <v>2602</v>
      </c>
      <c r="Q40" s="4" t="s">
        <v>2528</v>
      </c>
      <c r="R40" s="4"/>
      <c r="S40" s="4"/>
      <c r="T40" s="4" t="str">
        <f>HYPERLINK("http://slimages.macys.com/is/image/MCY/20450174 ")</f>
        <v xml:space="preserve">http://slimages.macys.com/is/image/MCY/20450174 </v>
      </c>
    </row>
    <row r="41" spans="1:20" ht="15" customHeight="1" x14ac:dyDescent="0.25">
      <c r="A41" s="4" t="s">
        <v>2489</v>
      </c>
      <c r="B41" s="2" t="s">
        <v>2487</v>
      </c>
      <c r="C41" s="2" t="s">
        <v>2488</v>
      </c>
      <c r="D41" s="5" t="s">
        <v>2490</v>
      </c>
      <c r="E41" s="4" t="s">
        <v>2491</v>
      </c>
      <c r="F41" s="6">
        <v>14210606</v>
      </c>
      <c r="G41" s="3">
        <v>14210606</v>
      </c>
      <c r="H41" s="7">
        <v>762120086417</v>
      </c>
      <c r="I41" s="8" t="s">
        <v>1456</v>
      </c>
      <c r="J41" s="4">
        <v>1</v>
      </c>
      <c r="K41" s="9">
        <v>7.99</v>
      </c>
      <c r="L41" s="9">
        <v>7.99</v>
      </c>
      <c r="M41" s="4" t="s">
        <v>1776</v>
      </c>
      <c r="N41" s="4" t="s">
        <v>2638</v>
      </c>
      <c r="O41" s="4" t="s">
        <v>2650</v>
      </c>
      <c r="P41" s="4" t="s">
        <v>2602</v>
      </c>
      <c r="Q41" s="4" t="s">
        <v>2528</v>
      </c>
      <c r="R41" s="4"/>
      <c r="S41" s="4"/>
      <c r="T41" s="4" t="str">
        <f>HYPERLINK("http://slimages.macys.com/is/image/MCY/1079693 ")</f>
        <v xml:space="preserve">http://slimages.macys.com/is/image/MCY/1079693 </v>
      </c>
    </row>
    <row r="42" spans="1:20" ht="15" customHeight="1" x14ac:dyDescent="0.25">
      <c r="A42" s="4" t="s">
        <v>2489</v>
      </c>
      <c r="B42" s="2" t="s">
        <v>2487</v>
      </c>
      <c r="C42" s="2" t="s">
        <v>2488</v>
      </c>
      <c r="D42" s="5" t="s">
        <v>2490</v>
      </c>
      <c r="E42" s="4" t="s">
        <v>2491</v>
      </c>
      <c r="F42" s="6">
        <v>14210606</v>
      </c>
      <c r="G42" s="3">
        <v>14210606</v>
      </c>
      <c r="H42" s="7">
        <v>194955948309</v>
      </c>
      <c r="I42" s="8" t="s">
        <v>143</v>
      </c>
      <c r="J42" s="4">
        <v>1</v>
      </c>
      <c r="K42" s="9">
        <v>32.99</v>
      </c>
      <c r="L42" s="9">
        <v>32.99</v>
      </c>
      <c r="M42" s="4" t="s">
        <v>2768</v>
      </c>
      <c r="N42" s="4" t="s">
        <v>2676</v>
      </c>
      <c r="O42" s="4" t="s">
        <v>2498</v>
      </c>
      <c r="P42" s="4" t="s">
        <v>2499</v>
      </c>
      <c r="Q42" s="4" t="s">
        <v>2568</v>
      </c>
      <c r="R42" s="4"/>
      <c r="S42" s="4"/>
      <c r="T42" s="4" t="str">
        <f>HYPERLINK("http://slimages.macys.com/is/image/MCY/18249668 ")</f>
        <v xml:space="preserve">http://slimages.macys.com/is/image/MCY/18249668 </v>
      </c>
    </row>
    <row r="43" spans="1:20" ht="15" customHeight="1" x14ac:dyDescent="0.25">
      <c r="A43" s="4" t="s">
        <v>2489</v>
      </c>
      <c r="B43" s="2" t="s">
        <v>2487</v>
      </c>
      <c r="C43" s="2" t="s">
        <v>2488</v>
      </c>
      <c r="D43" s="5" t="s">
        <v>2490</v>
      </c>
      <c r="E43" s="4" t="s">
        <v>2491</v>
      </c>
      <c r="F43" s="6">
        <v>14210606</v>
      </c>
      <c r="G43" s="3">
        <v>14210606</v>
      </c>
      <c r="H43" s="7">
        <v>733004801228</v>
      </c>
      <c r="I43" s="8" t="s">
        <v>2309</v>
      </c>
      <c r="J43" s="4">
        <v>2</v>
      </c>
      <c r="K43" s="9">
        <v>12.99</v>
      </c>
      <c r="L43" s="9">
        <v>25.98</v>
      </c>
      <c r="M43" s="4" t="s">
        <v>1792</v>
      </c>
      <c r="N43" s="4" t="s">
        <v>2548</v>
      </c>
      <c r="O43" s="4" t="s">
        <v>2653</v>
      </c>
      <c r="P43" s="4" t="s">
        <v>2602</v>
      </c>
      <c r="Q43" s="4" t="s">
        <v>2528</v>
      </c>
      <c r="R43" s="4"/>
      <c r="S43" s="4"/>
      <c r="T43" s="4" t="str">
        <f>HYPERLINK("http://slimages.macys.com/is/image/MCY/1088560 ")</f>
        <v xml:space="preserve">http://slimages.macys.com/is/image/MCY/1088560 </v>
      </c>
    </row>
    <row r="44" spans="1:20" ht="15" customHeight="1" x14ac:dyDescent="0.25">
      <c r="A44" s="4" t="s">
        <v>2489</v>
      </c>
      <c r="B44" s="2" t="s">
        <v>2487</v>
      </c>
      <c r="C44" s="2" t="s">
        <v>2488</v>
      </c>
      <c r="D44" s="5" t="s">
        <v>2490</v>
      </c>
      <c r="E44" s="4" t="s">
        <v>2491</v>
      </c>
      <c r="F44" s="6">
        <v>14210606</v>
      </c>
      <c r="G44" s="3">
        <v>14210606</v>
      </c>
      <c r="H44" s="7">
        <v>733004722721</v>
      </c>
      <c r="I44" s="8" t="s">
        <v>3205</v>
      </c>
      <c r="J44" s="4">
        <v>1</v>
      </c>
      <c r="K44" s="9">
        <v>25.99</v>
      </c>
      <c r="L44" s="9">
        <v>25.99</v>
      </c>
      <c r="M44" s="4" t="s">
        <v>3193</v>
      </c>
      <c r="N44" s="4" t="s">
        <v>2530</v>
      </c>
      <c r="O44" s="4" t="s">
        <v>2493</v>
      </c>
      <c r="P44" s="4" t="s">
        <v>2503</v>
      </c>
      <c r="Q44" s="4" t="s">
        <v>2504</v>
      </c>
      <c r="R44" s="4"/>
      <c r="S44" s="4"/>
      <c r="T44" s="4" t="str">
        <f>HYPERLINK("http://slimages.macys.com/is/image/MCY/19977902 ")</f>
        <v xml:space="preserve">http://slimages.macys.com/is/image/MCY/19977902 </v>
      </c>
    </row>
    <row r="45" spans="1:20" ht="15" customHeight="1" x14ac:dyDescent="0.25">
      <c r="A45" s="4" t="s">
        <v>2489</v>
      </c>
      <c r="B45" s="2" t="s">
        <v>2487</v>
      </c>
      <c r="C45" s="2" t="s">
        <v>2488</v>
      </c>
      <c r="D45" s="5" t="s">
        <v>2490</v>
      </c>
      <c r="E45" s="4" t="s">
        <v>2491</v>
      </c>
      <c r="F45" s="6">
        <v>14210606</v>
      </c>
      <c r="G45" s="3">
        <v>14210606</v>
      </c>
      <c r="H45" s="7">
        <v>762120077088</v>
      </c>
      <c r="I45" s="8" t="s">
        <v>144</v>
      </c>
      <c r="J45" s="4">
        <v>2</v>
      </c>
      <c r="K45" s="9">
        <v>7.99</v>
      </c>
      <c r="L45" s="9">
        <v>15.98</v>
      </c>
      <c r="M45" s="4" t="s">
        <v>3130</v>
      </c>
      <c r="N45" s="4" t="s">
        <v>2567</v>
      </c>
      <c r="O45" s="4">
        <v>5</v>
      </c>
      <c r="P45" s="4" t="s">
        <v>2520</v>
      </c>
      <c r="Q45" s="4" t="s">
        <v>2528</v>
      </c>
      <c r="R45" s="4"/>
      <c r="S45" s="4"/>
      <c r="T45" s="4" t="str">
        <f>HYPERLINK("http://slimages.macys.com/is/image/MCY/20669887 ")</f>
        <v xml:space="preserve">http://slimages.macys.com/is/image/MCY/20669887 </v>
      </c>
    </row>
    <row r="46" spans="1:20" ht="15" customHeight="1" x14ac:dyDescent="0.25">
      <c r="A46" s="4" t="s">
        <v>2489</v>
      </c>
      <c r="B46" s="2" t="s">
        <v>2487</v>
      </c>
      <c r="C46" s="2" t="s">
        <v>2488</v>
      </c>
      <c r="D46" s="5" t="s">
        <v>2490</v>
      </c>
      <c r="E46" s="4" t="s">
        <v>2491</v>
      </c>
      <c r="F46" s="6">
        <v>14210606</v>
      </c>
      <c r="G46" s="3">
        <v>14210606</v>
      </c>
      <c r="H46" s="7">
        <v>733003804992</v>
      </c>
      <c r="I46" s="8" t="s">
        <v>1845</v>
      </c>
      <c r="J46" s="4">
        <v>2</v>
      </c>
      <c r="K46" s="9">
        <v>5.99</v>
      </c>
      <c r="L46" s="9">
        <v>11.98</v>
      </c>
      <c r="M46" s="4" t="s">
        <v>3232</v>
      </c>
      <c r="N46" s="4" t="s">
        <v>2682</v>
      </c>
      <c r="O46" s="4">
        <v>6</v>
      </c>
      <c r="P46" s="4" t="s">
        <v>2520</v>
      </c>
      <c r="Q46" s="4" t="s">
        <v>2528</v>
      </c>
      <c r="R46" s="4"/>
      <c r="S46" s="4"/>
      <c r="T46" s="4" t="str">
        <f>HYPERLINK("http://slimages.macys.com/is/image/MCY/19239511 ")</f>
        <v xml:space="preserve">http://slimages.macys.com/is/image/MCY/19239511 </v>
      </c>
    </row>
    <row r="47" spans="1:20" ht="15" customHeight="1" x14ac:dyDescent="0.25">
      <c r="A47" s="4" t="s">
        <v>2489</v>
      </c>
      <c r="B47" s="2" t="s">
        <v>2487</v>
      </c>
      <c r="C47" s="2" t="s">
        <v>2488</v>
      </c>
      <c r="D47" s="5" t="s">
        <v>2490</v>
      </c>
      <c r="E47" s="4" t="s">
        <v>2491</v>
      </c>
      <c r="F47" s="6">
        <v>14210606</v>
      </c>
      <c r="G47" s="3">
        <v>14210606</v>
      </c>
      <c r="H47" s="7">
        <v>762120020145</v>
      </c>
      <c r="I47" s="8" t="s">
        <v>1255</v>
      </c>
      <c r="J47" s="4">
        <v>1</v>
      </c>
      <c r="K47" s="9">
        <v>6.99</v>
      </c>
      <c r="L47" s="9">
        <v>6.99</v>
      </c>
      <c r="M47" s="4" t="s">
        <v>3235</v>
      </c>
      <c r="N47" s="4" t="s">
        <v>2638</v>
      </c>
      <c r="O47" s="4" t="s">
        <v>2559</v>
      </c>
      <c r="P47" s="4" t="s">
        <v>2503</v>
      </c>
      <c r="Q47" s="4" t="s">
        <v>2504</v>
      </c>
      <c r="R47" s="4"/>
      <c r="S47" s="4"/>
      <c r="T47" s="4" t="str">
        <f>HYPERLINK("http://slimages.macys.com/is/image/MCY/20436495 ")</f>
        <v xml:space="preserve">http://slimages.macys.com/is/image/MCY/20436495 </v>
      </c>
    </row>
    <row r="48" spans="1:20" ht="15" customHeight="1" x14ac:dyDescent="0.25">
      <c r="A48" s="4" t="s">
        <v>2489</v>
      </c>
      <c r="B48" s="2" t="s">
        <v>2487</v>
      </c>
      <c r="C48" s="2" t="s">
        <v>2488</v>
      </c>
      <c r="D48" s="5" t="s">
        <v>2490</v>
      </c>
      <c r="E48" s="4" t="s">
        <v>2491</v>
      </c>
      <c r="F48" s="6">
        <v>14210606</v>
      </c>
      <c r="G48" s="3">
        <v>14210606</v>
      </c>
      <c r="H48" s="7">
        <v>762120020275</v>
      </c>
      <c r="I48" s="8" t="s">
        <v>1338</v>
      </c>
      <c r="J48" s="4">
        <v>2</v>
      </c>
      <c r="K48" s="9">
        <v>6.99</v>
      </c>
      <c r="L48" s="9">
        <v>13.98</v>
      </c>
      <c r="M48" s="4" t="s">
        <v>3235</v>
      </c>
      <c r="N48" s="4" t="s">
        <v>2565</v>
      </c>
      <c r="O48" s="4" t="s">
        <v>2493</v>
      </c>
      <c r="P48" s="4" t="s">
        <v>2503</v>
      </c>
      <c r="Q48" s="4" t="s">
        <v>2504</v>
      </c>
      <c r="R48" s="4"/>
      <c r="S48" s="4"/>
      <c r="T48" s="4" t="str">
        <f>HYPERLINK("http://slimages.macys.com/is/image/MCY/20436495 ")</f>
        <v xml:space="preserve">http://slimages.macys.com/is/image/MCY/20436495 </v>
      </c>
    </row>
    <row r="49" spans="1:20" ht="15" customHeight="1" x14ac:dyDescent="0.25">
      <c r="A49" s="4" t="s">
        <v>2489</v>
      </c>
      <c r="B49" s="2" t="s">
        <v>2487</v>
      </c>
      <c r="C49" s="2" t="s">
        <v>2488</v>
      </c>
      <c r="D49" s="5" t="s">
        <v>2490</v>
      </c>
      <c r="E49" s="4" t="s">
        <v>2491</v>
      </c>
      <c r="F49" s="6">
        <v>14210606</v>
      </c>
      <c r="G49" s="3">
        <v>14210606</v>
      </c>
      <c r="H49" s="7">
        <v>660168545678</v>
      </c>
      <c r="I49" s="8" t="s">
        <v>145</v>
      </c>
      <c r="J49" s="4">
        <v>1</v>
      </c>
      <c r="K49" s="9">
        <v>14.99</v>
      </c>
      <c r="L49" s="9">
        <v>14.99</v>
      </c>
      <c r="M49" s="4">
        <v>54567</v>
      </c>
      <c r="N49" s="4" t="s">
        <v>2523</v>
      </c>
      <c r="O49" s="4" t="s">
        <v>2816</v>
      </c>
      <c r="P49" s="4" t="s">
        <v>2533</v>
      </c>
      <c r="Q49" s="4" t="s">
        <v>2534</v>
      </c>
      <c r="R49" s="4" t="s">
        <v>2552</v>
      </c>
      <c r="S49" s="4" t="s">
        <v>146</v>
      </c>
      <c r="T49" s="4" t="str">
        <f>HYPERLINK("http://slimages.macys.com/is/image/MCY/11878701 ")</f>
        <v xml:space="preserve">http://slimages.macys.com/is/image/MCY/11878701 </v>
      </c>
    </row>
    <row r="50" spans="1:20" ht="15" customHeight="1" x14ac:dyDescent="0.25">
      <c r="A50" s="4" t="s">
        <v>2489</v>
      </c>
      <c r="B50" s="2" t="s">
        <v>2487</v>
      </c>
      <c r="C50" s="2" t="s">
        <v>2488</v>
      </c>
      <c r="D50" s="5" t="s">
        <v>2490</v>
      </c>
      <c r="E50" s="4" t="s">
        <v>2491</v>
      </c>
      <c r="F50" s="6">
        <v>14210606</v>
      </c>
      <c r="G50" s="3">
        <v>14210606</v>
      </c>
      <c r="H50" s="7">
        <v>733003705794</v>
      </c>
      <c r="I50" s="8" t="s">
        <v>2924</v>
      </c>
      <c r="J50" s="4">
        <v>1</v>
      </c>
      <c r="K50" s="9">
        <v>22.99</v>
      </c>
      <c r="L50" s="9">
        <v>22.99</v>
      </c>
      <c r="M50" s="4" t="s">
        <v>2794</v>
      </c>
      <c r="N50" s="4"/>
      <c r="O50" s="4">
        <v>5</v>
      </c>
      <c r="P50" s="4" t="s">
        <v>2602</v>
      </c>
      <c r="Q50" s="4" t="s">
        <v>2528</v>
      </c>
      <c r="R50" s="4"/>
      <c r="S50" s="4"/>
      <c r="T50" s="4" t="str">
        <f>HYPERLINK("http://slimages.macys.com/is/image/MCY/19632121 ")</f>
        <v xml:space="preserve">http://slimages.macys.com/is/image/MCY/19632121 </v>
      </c>
    </row>
    <row r="51" spans="1:20" ht="15" customHeight="1" x14ac:dyDescent="0.25">
      <c r="A51" s="4" t="s">
        <v>2489</v>
      </c>
      <c r="B51" s="2" t="s">
        <v>2487</v>
      </c>
      <c r="C51" s="2" t="s">
        <v>2488</v>
      </c>
      <c r="D51" s="5" t="s">
        <v>2490</v>
      </c>
      <c r="E51" s="4" t="s">
        <v>2491</v>
      </c>
      <c r="F51" s="6">
        <v>14210606</v>
      </c>
      <c r="G51" s="3">
        <v>14210606</v>
      </c>
      <c r="H51" s="7">
        <v>733004801211</v>
      </c>
      <c r="I51" s="8" t="s">
        <v>1629</v>
      </c>
      <c r="J51" s="4">
        <v>1</v>
      </c>
      <c r="K51" s="9">
        <v>12.99</v>
      </c>
      <c r="L51" s="9">
        <v>12.99</v>
      </c>
      <c r="M51" s="4" t="s">
        <v>1792</v>
      </c>
      <c r="N51" s="4" t="s">
        <v>2548</v>
      </c>
      <c r="O51" s="4" t="s">
        <v>2628</v>
      </c>
      <c r="P51" s="4" t="s">
        <v>2602</v>
      </c>
      <c r="Q51" s="4" t="s">
        <v>2528</v>
      </c>
      <c r="R51" s="4"/>
      <c r="S51" s="4"/>
      <c r="T51" s="4" t="str">
        <f>HYPERLINK("http://slimages.macys.com/is/image/MCY/20450220 ")</f>
        <v xml:space="preserve">http://slimages.macys.com/is/image/MCY/20450220 </v>
      </c>
    </row>
    <row r="52" spans="1:20" ht="15" customHeight="1" x14ac:dyDescent="0.25">
      <c r="A52" s="4" t="s">
        <v>2489</v>
      </c>
      <c r="B52" s="2" t="s">
        <v>2487</v>
      </c>
      <c r="C52" s="2" t="s">
        <v>2488</v>
      </c>
      <c r="D52" s="5" t="s">
        <v>2490</v>
      </c>
      <c r="E52" s="4" t="s">
        <v>2491</v>
      </c>
      <c r="F52" s="6">
        <v>14210606</v>
      </c>
      <c r="G52" s="3">
        <v>14210606</v>
      </c>
      <c r="H52" s="7">
        <v>733004782749</v>
      </c>
      <c r="I52" s="8" t="s">
        <v>1990</v>
      </c>
      <c r="J52" s="4">
        <v>1</v>
      </c>
      <c r="K52" s="9">
        <v>7.99</v>
      </c>
      <c r="L52" s="9">
        <v>7.99</v>
      </c>
      <c r="M52" s="4" t="s">
        <v>1810</v>
      </c>
      <c r="N52" s="4" t="s">
        <v>2561</v>
      </c>
      <c r="O52" s="4" t="s">
        <v>2629</v>
      </c>
      <c r="P52" s="4" t="s">
        <v>2602</v>
      </c>
      <c r="Q52" s="4" t="s">
        <v>2528</v>
      </c>
      <c r="R52" s="4"/>
      <c r="S52" s="4"/>
      <c r="T52" s="4" t="str">
        <f>HYPERLINK("http://slimages.macys.com/is/image/MCY/20450194 ")</f>
        <v xml:space="preserve">http://slimages.macys.com/is/image/MCY/20450194 </v>
      </c>
    </row>
    <row r="53" spans="1:20" ht="15" customHeight="1" x14ac:dyDescent="0.25">
      <c r="A53" s="4" t="s">
        <v>2489</v>
      </c>
      <c r="B53" s="2" t="s">
        <v>2487</v>
      </c>
      <c r="C53" s="2" t="s">
        <v>2488</v>
      </c>
      <c r="D53" s="5" t="s">
        <v>2490</v>
      </c>
      <c r="E53" s="4" t="s">
        <v>2491</v>
      </c>
      <c r="F53" s="6">
        <v>14210606</v>
      </c>
      <c r="G53" s="3">
        <v>14210606</v>
      </c>
      <c r="H53" s="7">
        <v>733004031656</v>
      </c>
      <c r="I53" s="8" t="s">
        <v>1259</v>
      </c>
      <c r="J53" s="4">
        <v>1</v>
      </c>
      <c r="K53" s="9">
        <v>19.989999999999998</v>
      </c>
      <c r="L53" s="9">
        <v>19.989999999999998</v>
      </c>
      <c r="M53" s="4" t="s">
        <v>1260</v>
      </c>
      <c r="N53" s="4" t="s">
        <v>2523</v>
      </c>
      <c r="O53" s="4" t="s">
        <v>2629</v>
      </c>
      <c r="P53" s="4" t="s">
        <v>2602</v>
      </c>
      <c r="Q53" s="4" t="s">
        <v>2528</v>
      </c>
      <c r="R53" s="4"/>
      <c r="S53" s="4"/>
      <c r="T53" s="4" t="str">
        <f>HYPERLINK("http://slimages.macys.com/is/image/MCY/19943794 ")</f>
        <v xml:space="preserve">http://slimages.macys.com/is/image/MCY/19943794 </v>
      </c>
    </row>
    <row r="54" spans="1:20" ht="15" customHeight="1" x14ac:dyDescent="0.25">
      <c r="A54" s="4" t="s">
        <v>2489</v>
      </c>
      <c r="B54" s="2" t="s">
        <v>2487</v>
      </c>
      <c r="C54" s="2" t="s">
        <v>2488</v>
      </c>
      <c r="D54" s="5" t="s">
        <v>2490</v>
      </c>
      <c r="E54" s="4" t="s">
        <v>2491</v>
      </c>
      <c r="F54" s="6">
        <v>14210606</v>
      </c>
      <c r="G54" s="3">
        <v>14210606</v>
      </c>
      <c r="H54" s="7">
        <v>762120085427</v>
      </c>
      <c r="I54" s="8" t="s">
        <v>147</v>
      </c>
      <c r="J54" s="4">
        <v>1</v>
      </c>
      <c r="K54" s="9">
        <v>7.99</v>
      </c>
      <c r="L54" s="9">
        <v>7.99</v>
      </c>
      <c r="M54" s="4" t="s">
        <v>1560</v>
      </c>
      <c r="N54" s="4" t="s">
        <v>2530</v>
      </c>
      <c r="O54" s="4" t="s">
        <v>2653</v>
      </c>
      <c r="P54" s="4" t="s">
        <v>2602</v>
      </c>
      <c r="Q54" s="4" t="s">
        <v>2528</v>
      </c>
      <c r="R54" s="4"/>
      <c r="S54" s="4"/>
      <c r="T54" s="4" t="str">
        <f>HYPERLINK("http://slimages.macys.com/is/image/MCY/20691807 ")</f>
        <v xml:space="preserve">http://slimages.macys.com/is/image/MCY/20691807 </v>
      </c>
    </row>
    <row r="55" spans="1:20" ht="15" customHeight="1" x14ac:dyDescent="0.25">
      <c r="A55" s="4" t="s">
        <v>2489</v>
      </c>
      <c r="B55" s="2" t="s">
        <v>2487</v>
      </c>
      <c r="C55" s="2" t="s">
        <v>2488</v>
      </c>
      <c r="D55" s="5" t="s">
        <v>2490</v>
      </c>
      <c r="E55" s="4" t="s">
        <v>2491</v>
      </c>
      <c r="F55" s="6">
        <v>14210606</v>
      </c>
      <c r="G55" s="3">
        <v>14210606</v>
      </c>
      <c r="H55" s="7">
        <v>733004780066</v>
      </c>
      <c r="I55" s="8" t="s">
        <v>2837</v>
      </c>
      <c r="J55" s="4">
        <v>1</v>
      </c>
      <c r="K55" s="9">
        <v>7.99</v>
      </c>
      <c r="L55" s="9">
        <v>7.99</v>
      </c>
      <c r="M55" s="4" t="s">
        <v>2692</v>
      </c>
      <c r="N55" s="4" t="s">
        <v>2501</v>
      </c>
      <c r="O55" s="4">
        <v>6</v>
      </c>
      <c r="P55" s="4" t="s">
        <v>2602</v>
      </c>
      <c r="Q55" s="4" t="s">
        <v>2528</v>
      </c>
      <c r="R55" s="4"/>
      <c r="S55" s="4"/>
      <c r="T55" s="4" t="str">
        <f>HYPERLINK("http://slimages.macys.com/is/image/MCY/20450163 ")</f>
        <v xml:space="preserve">http://slimages.macys.com/is/image/MCY/20450163 </v>
      </c>
    </row>
    <row r="56" spans="1:20" ht="15" customHeight="1" x14ac:dyDescent="0.25">
      <c r="A56" s="4" t="s">
        <v>2489</v>
      </c>
      <c r="B56" s="2" t="s">
        <v>2487</v>
      </c>
      <c r="C56" s="2" t="s">
        <v>2488</v>
      </c>
      <c r="D56" s="5" t="s">
        <v>2490</v>
      </c>
      <c r="E56" s="4" t="s">
        <v>2491</v>
      </c>
      <c r="F56" s="6">
        <v>14210606</v>
      </c>
      <c r="G56" s="3">
        <v>14210606</v>
      </c>
      <c r="H56" s="7">
        <v>733004779084</v>
      </c>
      <c r="I56" s="8" t="s">
        <v>2718</v>
      </c>
      <c r="J56" s="4">
        <v>1</v>
      </c>
      <c r="K56" s="9">
        <v>7.99</v>
      </c>
      <c r="L56" s="9">
        <v>7.99</v>
      </c>
      <c r="M56" s="4" t="s">
        <v>2719</v>
      </c>
      <c r="N56" s="4" t="s">
        <v>2565</v>
      </c>
      <c r="O56" s="4">
        <v>6</v>
      </c>
      <c r="P56" s="4" t="s">
        <v>2602</v>
      </c>
      <c r="Q56" s="4" t="s">
        <v>2528</v>
      </c>
      <c r="R56" s="4"/>
      <c r="S56" s="4"/>
      <c r="T56" s="4" t="str">
        <f>HYPERLINK("http://slimages.macys.com/is/image/MCY/20450156 ")</f>
        <v xml:space="preserve">http://slimages.macys.com/is/image/MCY/20450156 </v>
      </c>
    </row>
    <row r="57" spans="1:20" ht="15" customHeight="1" x14ac:dyDescent="0.25">
      <c r="A57" s="4" t="s">
        <v>2489</v>
      </c>
      <c r="B57" s="2" t="s">
        <v>2487</v>
      </c>
      <c r="C57" s="2" t="s">
        <v>2488</v>
      </c>
      <c r="D57" s="5" t="s">
        <v>2490</v>
      </c>
      <c r="E57" s="4" t="s">
        <v>2491</v>
      </c>
      <c r="F57" s="6">
        <v>14210606</v>
      </c>
      <c r="G57" s="3">
        <v>14210606</v>
      </c>
      <c r="H57" s="7">
        <v>733002944279</v>
      </c>
      <c r="I57" s="8" t="s">
        <v>1845</v>
      </c>
      <c r="J57" s="4">
        <v>1</v>
      </c>
      <c r="K57" s="9">
        <v>5.99</v>
      </c>
      <c r="L57" s="9">
        <v>5.99</v>
      </c>
      <c r="M57" s="4" t="s">
        <v>3232</v>
      </c>
      <c r="N57" s="4" t="s">
        <v>2508</v>
      </c>
      <c r="O57" s="4">
        <v>6</v>
      </c>
      <c r="P57" s="4" t="s">
        <v>2520</v>
      </c>
      <c r="Q57" s="4" t="s">
        <v>2528</v>
      </c>
      <c r="R57" s="4"/>
      <c r="S57" s="4"/>
      <c r="T57" s="4" t="str">
        <f>HYPERLINK("http://slimages.macys.com/is/image/MCY/19239511 ")</f>
        <v xml:space="preserve">http://slimages.macys.com/is/image/MCY/19239511 </v>
      </c>
    </row>
    <row r="58" spans="1:20" ht="15" customHeight="1" x14ac:dyDescent="0.25">
      <c r="A58" s="4" t="s">
        <v>2489</v>
      </c>
      <c r="B58" s="2" t="s">
        <v>2487</v>
      </c>
      <c r="C58" s="2" t="s">
        <v>2488</v>
      </c>
      <c r="D58" s="5" t="s">
        <v>2490</v>
      </c>
      <c r="E58" s="4" t="s">
        <v>2491</v>
      </c>
      <c r="F58" s="6">
        <v>14210606</v>
      </c>
      <c r="G58" s="3">
        <v>14210606</v>
      </c>
      <c r="H58" s="7">
        <v>733004729683</v>
      </c>
      <c r="I58" s="8" t="s">
        <v>1042</v>
      </c>
      <c r="J58" s="4">
        <v>1</v>
      </c>
      <c r="K58" s="9">
        <v>23.99</v>
      </c>
      <c r="L58" s="9">
        <v>23.99</v>
      </c>
      <c r="M58" s="4" t="s">
        <v>2085</v>
      </c>
      <c r="N58" s="4" t="s">
        <v>2505</v>
      </c>
      <c r="O58" s="4" t="s">
        <v>2532</v>
      </c>
      <c r="P58" s="4" t="s">
        <v>2520</v>
      </c>
      <c r="Q58" s="4" t="s">
        <v>2521</v>
      </c>
      <c r="R58" s="4"/>
      <c r="S58" s="4"/>
      <c r="T58" s="4" t="str">
        <f>HYPERLINK("http://slimages.macys.com/is/image/MCY/20433729 ")</f>
        <v xml:space="preserve">http://slimages.macys.com/is/image/MCY/20433729 </v>
      </c>
    </row>
    <row r="59" spans="1:20" ht="15" customHeight="1" x14ac:dyDescent="0.25">
      <c r="A59" s="4" t="s">
        <v>2489</v>
      </c>
      <c r="B59" s="2" t="s">
        <v>2487</v>
      </c>
      <c r="C59" s="2" t="s">
        <v>2488</v>
      </c>
      <c r="D59" s="5" t="s">
        <v>2490</v>
      </c>
      <c r="E59" s="4" t="s">
        <v>2491</v>
      </c>
      <c r="F59" s="6">
        <v>14210606</v>
      </c>
      <c r="G59" s="3">
        <v>14210606</v>
      </c>
      <c r="H59" s="7">
        <v>733004729904</v>
      </c>
      <c r="I59" s="8" t="s">
        <v>1563</v>
      </c>
      <c r="J59" s="4">
        <v>1</v>
      </c>
      <c r="K59" s="9">
        <v>14.99</v>
      </c>
      <c r="L59" s="9">
        <v>14.99</v>
      </c>
      <c r="M59" s="4" t="s">
        <v>3284</v>
      </c>
      <c r="N59" s="4" t="s">
        <v>2571</v>
      </c>
      <c r="O59" s="4" t="s">
        <v>2498</v>
      </c>
      <c r="P59" s="4" t="s">
        <v>2520</v>
      </c>
      <c r="Q59" s="4" t="s">
        <v>2521</v>
      </c>
      <c r="R59" s="4"/>
      <c r="S59" s="4"/>
      <c r="T59" s="4" t="str">
        <f>HYPERLINK("http://slimages.macys.com/is/image/MCY/20433946 ")</f>
        <v xml:space="preserve">http://slimages.macys.com/is/image/MCY/20433946 </v>
      </c>
    </row>
    <row r="60" spans="1:20" ht="15" customHeight="1" x14ac:dyDescent="0.25">
      <c r="A60" s="4" t="s">
        <v>2489</v>
      </c>
      <c r="B60" s="2" t="s">
        <v>2487</v>
      </c>
      <c r="C60" s="2" t="s">
        <v>2488</v>
      </c>
      <c r="D60" s="5" t="s">
        <v>2490</v>
      </c>
      <c r="E60" s="4" t="s">
        <v>2491</v>
      </c>
      <c r="F60" s="6">
        <v>14210606</v>
      </c>
      <c r="G60" s="3">
        <v>14210606</v>
      </c>
      <c r="H60" s="7">
        <v>696114425947</v>
      </c>
      <c r="I60" s="8" t="s">
        <v>848</v>
      </c>
      <c r="J60" s="4">
        <v>1</v>
      </c>
      <c r="K60" s="9">
        <v>14.99</v>
      </c>
      <c r="L60" s="9">
        <v>14.99</v>
      </c>
      <c r="M60" s="4" t="s">
        <v>849</v>
      </c>
      <c r="N60" s="4" t="s">
        <v>2731</v>
      </c>
      <c r="O60" s="4"/>
      <c r="P60" s="4" t="s">
        <v>2569</v>
      </c>
      <c r="Q60" s="4" t="s">
        <v>2679</v>
      </c>
      <c r="R60" s="4"/>
      <c r="S60" s="4"/>
      <c r="T60" s="4" t="str">
        <f>HYPERLINK("http://slimages.macys.com/is/image/MCY/20291062 ")</f>
        <v xml:space="preserve">http://slimages.macys.com/is/image/MCY/20291062 </v>
      </c>
    </row>
    <row r="61" spans="1:20" ht="15" customHeight="1" x14ac:dyDescent="0.25">
      <c r="A61" s="4" t="s">
        <v>2489</v>
      </c>
      <c r="B61" s="2" t="s">
        <v>2487</v>
      </c>
      <c r="C61" s="2" t="s">
        <v>2488</v>
      </c>
      <c r="D61" s="5" t="s">
        <v>2490</v>
      </c>
      <c r="E61" s="4" t="s">
        <v>2491</v>
      </c>
      <c r="F61" s="6">
        <v>14210606</v>
      </c>
      <c r="G61" s="3">
        <v>14210606</v>
      </c>
      <c r="H61" s="7">
        <v>640013923592</v>
      </c>
      <c r="I61" s="8" t="s">
        <v>3299</v>
      </c>
      <c r="J61" s="4">
        <v>1</v>
      </c>
      <c r="K61" s="9">
        <v>10.56</v>
      </c>
      <c r="L61" s="9">
        <v>10.56</v>
      </c>
      <c r="M61" s="4" t="s">
        <v>3060</v>
      </c>
      <c r="N61" s="4" t="s">
        <v>2497</v>
      </c>
      <c r="O61" s="4" t="s">
        <v>2555</v>
      </c>
      <c r="P61" s="4" t="s">
        <v>2556</v>
      </c>
      <c r="Q61" s="4" t="s">
        <v>2557</v>
      </c>
      <c r="R61" s="4"/>
      <c r="S61" s="4"/>
      <c r="T61" s="4" t="str">
        <f>HYPERLINK("http://slimages.macys.com/is/image/MCY/20866503 ")</f>
        <v xml:space="preserve">http://slimages.macys.com/is/image/MCY/20866503 </v>
      </c>
    </row>
    <row r="62" spans="1:20" ht="15" customHeight="1" x14ac:dyDescent="0.25">
      <c r="A62" s="4" t="s">
        <v>2489</v>
      </c>
      <c r="B62" s="2" t="s">
        <v>2487</v>
      </c>
      <c r="C62" s="2" t="s">
        <v>2488</v>
      </c>
      <c r="D62" s="5" t="s">
        <v>2490</v>
      </c>
      <c r="E62" s="4" t="s">
        <v>2491</v>
      </c>
      <c r="F62" s="6">
        <v>14210606</v>
      </c>
      <c r="G62" s="3">
        <v>14210606</v>
      </c>
      <c r="H62" s="7">
        <v>885031525520</v>
      </c>
      <c r="I62" s="8" t="s">
        <v>148</v>
      </c>
      <c r="J62" s="4">
        <v>1</v>
      </c>
      <c r="K62" s="9">
        <v>22.5</v>
      </c>
      <c r="L62" s="9">
        <v>22.5</v>
      </c>
      <c r="M62" s="4">
        <v>320858710001</v>
      </c>
      <c r="N62" s="4" t="s">
        <v>2523</v>
      </c>
      <c r="O62" s="4" t="s">
        <v>2746</v>
      </c>
      <c r="P62" s="4" t="s">
        <v>3032</v>
      </c>
      <c r="Q62" s="4" t="s">
        <v>2616</v>
      </c>
      <c r="R62" s="4"/>
      <c r="S62" s="4"/>
      <c r="T62" s="4" t="str">
        <f>HYPERLINK("http://slimages.macys.com/is/image/MCY/20703832 ")</f>
        <v xml:space="preserve">http://slimages.macys.com/is/image/MCY/20703832 </v>
      </c>
    </row>
    <row r="63" spans="1:20" ht="15" customHeight="1" x14ac:dyDescent="0.25">
      <c r="A63" s="4" t="s">
        <v>2489</v>
      </c>
      <c r="B63" s="2" t="s">
        <v>2487</v>
      </c>
      <c r="C63" s="2" t="s">
        <v>2488</v>
      </c>
      <c r="D63" s="5" t="s">
        <v>2490</v>
      </c>
      <c r="E63" s="4" t="s">
        <v>2491</v>
      </c>
      <c r="F63" s="6">
        <v>14210606</v>
      </c>
      <c r="G63" s="3">
        <v>14210606</v>
      </c>
      <c r="H63" s="7">
        <v>733003643683</v>
      </c>
      <c r="I63" s="8" t="s">
        <v>820</v>
      </c>
      <c r="J63" s="4">
        <v>1</v>
      </c>
      <c r="K63" s="9">
        <v>18.989999999999998</v>
      </c>
      <c r="L63" s="9">
        <v>18.989999999999998</v>
      </c>
      <c r="M63" s="4" t="s">
        <v>2984</v>
      </c>
      <c r="N63" s="4" t="s">
        <v>2561</v>
      </c>
      <c r="O63" s="4" t="s">
        <v>2628</v>
      </c>
      <c r="P63" s="4" t="s">
        <v>2515</v>
      </c>
      <c r="Q63" s="4" t="s">
        <v>2972</v>
      </c>
      <c r="R63" s="4"/>
      <c r="S63" s="4"/>
      <c r="T63" s="4" t="str">
        <f>HYPERLINK("http://slimages.macys.com/is/image/MCY/20008203 ")</f>
        <v xml:space="preserve">http://slimages.macys.com/is/image/MCY/20008203 </v>
      </c>
    </row>
    <row r="64" spans="1:20" ht="15" customHeight="1" x14ac:dyDescent="0.25">
      <c r="A64" s="4" t="s">
        <v>2489</v>
      </c>
      <c r="B64" s="2" t="s">
        <v>2487</v>
      </c>
      <c r="C64" s="2" t="s">
        <v>2488</v>
      </c>
      <c r="D64" s="5" t="s">
        <v>2490</v>
      </c>
      <c r="E64" s="4" t="s">
        <v>2491</v>
      </c>
      <c r="F64" s="6">
        <v>14210606</v>
      </c>
      <c r="G64" s="3">
        <v>14210606</v>
      </c>
      <c r="H64" s="7">
        <v>733003735296</v>
      </c>
      <c r="I64" s="8" t="s">
        <v>149</v>
      </c>
      <c r="J64" s="4">
        <v>1</v>
      </c>
      <c r="K64" s="9">
        <v>21.99</v>
      </c>
      <c r="L64" s="9">
        <v>21.99</v>
      </c>
      <c r="M64" s="4" t="s">
        <v>1382</v>
      </c>
      <c r="N64" s="4"/>
      <c r="O64" s="4" t="s">
        <v>2555</v>
      </c>
      <c r="P64" s="4" t="s">
        <v>2543</v>
      </c>
      <c r="Q64" s="4" t="s">
        <v>2528</v>
      </c>
      <c r="R64" s="4"/>
      <c r="S64" s="4"/>
      <c r="T64" s="4" t="str">
        <f>HYPERLINK("http://slimages.macys.com/is/image/MCY/19631899 ")</f>
        <v xml:space="preserve">http://slimages.macys.com/is/image/MCY/19631899 </v>
      </c>
    </row>
    <row r="65" spans="1:20" ht="15" customHeight="1" x14ac:dyDescent="0.25">
      <c r="A65" s="4" t="s">
        <v>2489</v>
      </c>
      <c r="B65" s="2" t="s">
        <v>2487</v>
      </c>
      <c r="C65" s="2" t="s">
        <v>2488</v>
      </c>
      <c r="D65" s="5" t="s">
        <v>2490</v>
      </c>
      <c r="E65" s="4" t="s">
        <v>2491</v>
      </c>
      <c r="F65" s="6">
        <v>14210606</v>
      </c>
      <c r="G65" s="3">
        <v>14210606</v>
      </c>
      <c r="H65" s="7">
        <v>733004752155</v>
      </c>
      <c r="I65" s="8" t="s">
        <v>3237</v>
      </c>
      <c r="J65" s="4">
        <v>1</v>
      </c>
      <c r="K65" s="9">
        <v>15.99</v>
      </c>
      <c r="L65" s="9">
        <v>15.99</v>
      </c>
      <c r="M65" s="4" t="s">
        <v>3238</v>
      </c>
      <c r="N65" s="4" t="s">
        <v>2514</v>
      </c>
      <c r="O65" s="4" t="s">
        <v>2498</v>
      </c>
      <c r="P65" s="4" t="s">
        <v>2543</v>
      </c>
      <c r="Q65" s="4" t="s">
        <v>2528</v>
      </c>
      <c r="R65" s="4"/>
      <c r="S65" s="4"/>
      <c r="T65" s="4" t="str">
        <f>HYPERLINK("http://slimages.macys.com/is/image/MCY/20440819 ")</f>
        <v xml:space="preserve">http://slimages.macys.com/is/image/MCY/20440819 </v>
      </c>
    </row>
    <row r="66" spans="1:20" ht="15" customHeight="1" x14ac:dyDescent="0.25">
      <c r="A66" s="4" t="s">
        <v>2489</v>
      </c>
      <c r="B66" s="2" t="s">
        <v>2487</v>
      </c>
      <c r="C66" s="2" t="s">
        <v>2488</v>
      </c>
      <c r="D66" s="5" t="s">
        <v>2490</v>
      </c>
      <c r="E66" s="4" t="s">
        <v>2491</v>
      </c>
      <c r="F66" s="6">
        <v>14210606</v>
      </c>
      <c r="G66" s="3">
        <v>14210606</v>
      </c>
      <c r="H66" s="7">
        <v>733003920722</v>
      </c>
      <c r="I66" s="8" t="s">
        <v>150</v>
      </c>
      <c r="J66" s="4">
        <v>1</v>
      </c>
      <c r="K66" s="9">
        <v>7.99</v>
      </c>
      <c r="L66" s="9">
        <v>7.99</v>
      </c>
      <c r="M66" s="4" t="s">
        <v>2781</v>
      </c>
      <c r="N66" s="4" t="s">
        <v>2600</v>
      </c>
      <c r="O66" s="4" t="s">
        <v>2629</v>
      </c>
      <c r="P66" s="4" t="s">
        <v>2503</v>
      </c>
      <c r="Q66" s="4" t="s">
        <v>2504</v>
      </c>
      <c r="R66" s="4"/>
      <c r="S66" s="4"/>
      <c r="T66" s="4" t="str">
        <f>HYPERLINK("http://slimages.macys.com/is/image/MCY/19507927 ")</f>
        <v xml:space="preserve">http://slimages.macys.com/is/image/MCY/19507927 </v>
      </c>
    </row>
    <row r="67" spans="1:20" ht="15" customHeight="1" x14ac:dyDescent="0.25">
      <c r="A67" s="4" t="s">
        <v>2489</v>
      </c>
      <c r="B67" s="2" t="s">
        <v>2487</v>
      </c>
      <c r="C67" s="2" t="s">
        <v>2488</v>
      </c>
      <c r="D67" s="5" t="s">
        <v>2490</v>
      </c>
      <c r="E67" s="4" t="s">
        <v>2491</v>
      </c>
      <c r="F67" s="6">
        <v>14210606</v>
      </c>
      <c r="G67" s="3">
        <v>14210606</v>
      </c>
      <c r="H67" s="7">
        <v>194135420076</v>
      </c>
      <c r="I67" s="8" t="s">
        <v>151</v>
      </c>
      <c r="J67" s="4">
        <v>1</v>
      </c>
      <c r="K67" s="9">
        <v>11.42</v>
      </c>
      <c r="L67" s="9">
        <v>11.42</v>
      </c>
      <c r="M67" s="4" t="s">
        <v>152</v>
      </c>
      <c r="N67" s="4"/>
      <c r="O67" s="4" t="s">
        <v>2705</v>
      </c>
      <c r="P67" s="4" t="s">
        <v>2657</v>
      </c>
      <c r="Q67" s="4" t="s">
        <v>2658</v>
      </c>
      <c r="R67" s="4"/>
      <c r="S67" s="4"/>
      <c r="T67" s="4" t="str">
        <f>HYPERLINK("http://slimages.macys.com/is/image/MCY/19944628 ")</f>
        <v xml:space="preserve">http://slimages.macys.com/is/image/MCY/19944628 </v>
      </c>
    </row>
    <row r="68" spans="1:20" ht="15" customHeight="1" x14ac:dyDescent="0.25">
      <c r="A68" s="4" t="s">
        <v>2489</v>
      </c>
      <c r="B68" s="2" t="s">
        <v>2487</v>
      </c>
      <c r="C68" s="2" t="s">
        <v>2488</v>
      </c>
      <c r="D68" s="5" t="s">
        <v>2490</v>
      </c>
      <c r="E68" s="4" t="s">
        <v>2491</v>
      </c>
      <c r="F68" s="6">
        <v>14210606</v>
      </c>
      <c r="G68" s="3">
        <v>14210606</v>
      </c>
      <c r="H68" s="7">
        <v>194257489722</v>
      </c>
      <c r="I68" s="8" t="s">
        <v>2612</v>
      </c>
      <c r="J68" s="4">
        <v>1</v>
      </c>
      <c r="K68" s="9">
        <v>8.99</v>
      </c>
      <c r="L68" s="9">
        <v>8.99</v>
      </c>
      <c r="M68" s="4" t="s">
        <v>2613</v>
      </c>
      <c r="N68" s="4" t="s">
        <v>2614</v>
      </c>
      <c r="O68" s="4" t="s">
        <v>2498</v>
      </c>
      <c r="P68" s="4" t="s">
        <v>2499</v>
      </c>
      <c r="Q68" s="4" t="s">
        <v>2500</v>
      </c>
      <c r="R68" s="4"/>
      <c r="S68" s="4"/>
      <c r="T68" s="4" t="str">
        <f>HYPERLINK("http://slimages.macys.com/is/image/MCY/19718921 ")</f>
        <v xml:space="preserve">http://slimages.macys.com/is/image/MCY/19718921 </v>
      </c>
    </row>
    <row r="69" spans="1:20" ht="15" customHeight="1" x14ac:dyDescent="0.25">
      <c r="A69" s="4" t="s">
        <v>2489</v>
      </c>
      <c r="B69" s="2" t="s">
        <v>2487</v>
      </c>
      <c r="C69" s="2" t="s">
        <v>2488</v>
      </c>
      <c r="D69" s="5" t="s">
        <v>2490</v>
      </c>
      <c r="E69" s="4" t="s">
        <v>2491</v>
      </c>
      <c r="F69" s="6">
        <v>14210606</v>
      </c>
      <c r="G69" s="3">
        <v>14210606</v>
      </c>
      <c r="H69" s="7">
        <v>194501678933</v>
      </c>
      <c r="I69" s="8" t="s">
        <v>153</v>
      </c>
      <c r="J69" s="4">
        <v>1</v>
      </c>
      <c r="K69" s="9">
        <v>33.99</v>
      </c>
      <c r="L69" s="9">
        <v>33.99</v>
      </c>
      <c r="M69" s="4" t="s">
        <v>154</v>
      </c>
      <c r="N69" s="4" t="s">
        <v>2567</v>
      </c>
      <c r="O69" s="4" t="s">
        <v>2498</v>
      </c>
      <c r="P69" s="4" t="s">
        <v>2619</v>
      </c>
      <c r="Q69" s="4" t="s">
        <v>2568</v>
      </c>
      <c r="R69" s="4"/>
      <c r="S69" s="4"/>
      <c r="T69" s="4" t="str">
        <f>HYPERLINK("http://slimages.macys.com/is/image/MCY/19554965 ")</f>
        <v xml:space="preserve">http://slimages.macys.com/is/image/MCY/19554965 </v>
      </c>
    </row>
    <row r="70" spans="1:20" ht="15" customHeight="1" x14ac:dyDescent="0.25">
      <c r="A70" s="4" t="s">
        <v>2489</v>
      </c>
      <c r="B70" s="2" t="s">
        <v>2487</v>
      </c>
      <c r="C70" s="2" t="s">
        <v>2488</v>
      </c>
      <c r="D70" s="5" t="s">
        <v>2490</v>
      </c>
      <c r="E70" s="4" t="s">
        <v>2491</v>
      </c>
      <c r="F70" s="6">
        <v>14210606</v>
      </c>
      <c r="G70" s="3">
        <v>14210606</v>
      </c>
      <c r="H70" s="7">
        <v>195238042219</v>
      </c>
      <c r="I70" s="8" t="s">
        <v>3015</v>
      </c>
      <c r="J70" s="4">
        <v>1</v>
      </c>
      <c r="K70" s="9">
        <v>58.99</v>
      </c>
      <c r="L70" s="9">
        <v>58.99</v>
      </c>
      <c r="M70" s="4" t="s">
        <v>3016</v>
      </c>
      <c r="N70" s="4" t="s">
        <v>2535</v>
      </c>
      <c r="O70" s="4" t="s">
        <v>2519</v>
      </c>
      <c r="P70" s="4" t="s">
        <v>2619</v>
      </c>
      <c r="Q70" s="4" t="s">
        <v>2568</v>
      </c>
      <c r="R70" s="4"/>
      <c r="S70" s="4"/>
      <c r="T70" s="4" t="str">
        <f>HYPERLINK("http://slimages.macys.com/is/image/MCY/20219107 ")</f>
        <v xml:space="preserve">http://slimages.macys.com/is/image/MCY/20219107 </v>
      </c>
    </row>
    <row r="71" spans="1:20" ht="15" customHeight="1" x14ac:dyDescent="0.25">
      <c r="A71" s="4" t="s">
        <v>2489</v>
      </c>
      <c r="B71" s="2" t="s">
        <v>2487</v>
      </c>
      <c r="C71" s="2" t="s">
        <v>2488</v>
      </c>
      <c r="D71" s="5" t="s">
        <v>2490</v>
      </c>
      <c r="E71" s="4" t="s">
        <v>2491</v>
      </c>
      <c r="F71" s="6">
        <v>14210606</v>
      </c>
      <c r="G71" s="3">
        <v>14210606</v>
      </c>
      <c r="H71" s="7">
        <v>195240912913</v>
      </c>
      <c r="I71" s="8" t="s">
        <v>155</v>
      </c>
      <c r="J71" s="4">
        <v>2</v>
      </c>
      <c r="K71" s="9">
        <v>18.989999999999998</v>
      </c>
      <c r="L71" s="9">
        <v>37.979999999999997</v>
      </c>
      <c r="M71" s="4" t="s">
        <v>156</v>
      </c>
      <c r="N71" s="4" t="s">
        <v>2614</v>
      </c>
      <c r="O71" s="4" t="s">
        <v>2519</v>
      </c>
      <c r="P71" s="4" t="s">
        <v>2619</v>
      </c>
      <c r="Q71" s="4" t="s">
        <v>2568</v>
      </c>
      <c r="R71" s="4"/>
      <c r="S71" s="4"/>
      <c r="T71" s="4" t="str">
        <f>HYPERLINK("http://slimages.macys.com/is/image/MCY/21494739 ")</f>
        <v xml:space="preserve">http://slimages.macys.com/is/image/MCY/21494739 </v>
      </c>
    </row>
    <row r="72" spans="1:20" ht="15" customHeight="1" x14ac:dyDescent="0.25">
      <c r="A72" s="4" t="s">
        <v>2489</v>
      </c>
      <c r="B72" s="2" t="s">
        <v>2487</v>
      </c>
      <c r="C72" s="2" t="s">
        <v>2488</v>
      </c>
      <c r="D72" s="5" t="s">
        <v>2490</v>
      </c>
      <c r="E72" s="4" t="s">
        <v>2491</v>
      </c>
      <c r="F72" s="6">
        <v>14210606</v>
      </c>
      <c r="G72" s="3">
        <v>14210606</v>
      </c>
      <c r="H72" s="7">
        <v>194955959213</v>
      </c>
      <c r="I72" s="8" t="s">
        <v>157</v>
      </c>
      <c r="J72" s="4">
        <v>1</v>
      </c>
      <c r="K72" s="9">
        <v>25.99</v>
      </c>
      <c r="L72" s="9">
        <v>25.99</v>
      </c>
      <c r="M72" s="4" t="s">
        <v>1670</v>
      </c>
      <c r="N72" s="4" t="s">
        <v>3103</v>
      </c>
      <c r="O72" s="4" t="s">
        <v>2671</v>
      </c>
      <c r="P72" s="4" t="s">
        <v>2619</v>
      </c>
      <c r="Q72" s="4" t="s">
        <v>2568</v>
      </c>
      <c r="R72" s="4"/>
      <c r="S72" s="4"/>
      <c r="T72" s="4" t="str">
        <f>HYPERLINK("http://slimages.macys.com/is/image/MCY/18226673 ")</f>
        <v xml:space="preserve">http://slimages.macys.com/is/image/MCY/18226673 </v>
      </c>
    </row>
    <row r="73" spans="1:20" ht="15" customHeight="1" x14ac:dyDescent="0.25">
      <c r="A73" s="4" t="s">
        <v>2489</v>
      </c>
      <c r="B73" s="2" t="s">
        <v>2487</v>
      </c>
      <c r="C73" s="2" t="s">
        <v>2488</v>
      </c>
      <c r="D73" s="5" t="s">
        <v>2490</v>
      </c>
      <c r="E73" s="4" t="s">
        <v>2491</v>
      </c>
      <c r="F73" s="6">
        <v>14210606</v>
      </c>
      <c r="G73" s="3">
        <v>14210606</v>
      </c>
      <c r="H73" s="7">
        <v>195238043810</v>
      </c>
      <c r="I73" s="8" t="s">
        <v>158</v>
      </c>
      <c r="J73" s="4">
        <v>1</v>
      </c>
      <c r="K73" s="9">
        <v>48.99</v>
      </c>
      <c r="L73" s="9">
        <v>48.99</v>
      </c>
      <c r="M73" s="4" t="s">
        <v>1674</v>
      </c>
      <c r="N73" s="4" t="s">
        <v>2611</v>
      </c>
      <c r="O73" s="4" t="s">
        <v>2519</v>
      </c>
      <c r="P73" s="4" t="s">
        <v>2619</v>
      </c>
      <c r="Q73" s="4" t="s">
        <v>2568</v>
      </c>
      <c r="R73" s="4"/>
      <c r="S73" s="4"/>
      <c r="T73" s="4" t="str">
        <f>HYPERLINK("http://slimages.macys.com/is/image/MCY/19197077 ")</f>
        <v xml:space="preserve">http://slimages.macys.com/is/image/MCY/19197077 </v>
      </c>
    </row>
    <row r="74" spans="1:20" ht="15" customHeight="1" x14ac:dyDescent="0.25">
      <c r="A74" s="4" t="s">
        <v>2489</v>
      </c>
      <c r="B74" s="2" t="s">
        <v>2487</v>
      </c>
      <c r="C74" s="2" t="s">
        <v>2488</v>
      </c>
      <c r="D74" s="5" t="s">
        <v>2490</v>
      </c>
      <c r="E74" s="4" t="s">
        <v>2491</v>
      </c>
      <c r="F74" s="6">
        <v>14210606</v>
      </c>
      <c r="G74" s="3">
        <v>14210606</v>
      </c>
      <c r="H74" s="7">
        <v>194501907347</v>
      </c>
      <c r="I74" s="8" t="s">
        <v>159</v>
      </c>
      <c r="J74" s="4">
        <v>1</v>
      </c>
      <c r="K74" s="9">
        <v>23.99</v>
      </c>
      <c r="L74" s="9">
        <v>23.99</v>
      </c>
      <c r="M74" s="4" t="s">
        <v>3197</v>
      </c>
      <c r="N74" s="4" t="s">
        <v>2535</v>
      </c>
      <c r="O74" s="4" t="s">
        <v>2519</v>
      </c>
      <c r="P74" s="4" t="s">
        <v>2619</v>
      </c>
      <c r="Q74" s="4" t="s">
        <v>2568</v>
      </c>
      <c r="R74" s="4"/>
      <c r="S74" s="4"/>
      <c r="T74" s="4" t="str">
        <f>HYPERLINK("http://slimages.macys.com/is/image/MCY/19219368 ")</f>
        <v xml:space="preserve">http://slimages.macys.com/is/image/MCY/19219368 </v>
      </c>
    </row>
    <row r="75" spans="1:20" ht="15" customHeight="1" x14ac:dyDescent="0.25">
      <c r="A75" s="4" t="s">
        <v>2489</v>
      </c>
      <c r="B75" s="2" t="s">
        <v>2487</v>
      </c>
      <c r="C75" s="2" t="s">
        <v>2488</v>
      </c>
      <c r="D75" s="5" t="s">
        <v>2490</v>
      </c>
      <c r="E75" s="4" t="s">
        <v>2491</v>
      </c>
      <c r="F75" s="6">
        <v>14210606</v>
      </c>
      <c r="G75" s="3">
        <v>14210606</v>
      </c>
      <c r="H75" s="7">
        <v>733004290381</v>
      </c>
      <c r="I75" s="8" t="s">
        <v>160</v>
      </c>
      <c r="J75" s="4">
        <v>3</v>
      </c>
      <c r="K75" s="9">
        <v>6.99</v>
      </c>
      <c r="L75" s="9">
        <v>20.97</v>
      </c>
      <c r="M75" s="4" t="s">
        <v>119</v>
      </c>
      <c r="N75" s="4" t="s">
        <v>2665</v>
      </c>
      <c r="O75" s="4" t="s">
        <v>2493</v>
      </c>
      <c r="P75" s="4" t="s">
        <v>2503</v>
      </c>
      <c r="Q75" s="4" t="s">
        <v>2504</v>
      </c>
      <c r="R75" s="4"/>
      <c r="S75" s="4"/>
      <c r="T75" s="4" t="str">
        <f>HYPERLINK("http://slimages.macys.com/is/image/MCY/19746503 ")</f>
        <v xml:space="preserve">http://slimages.macys.com/is/image/MCY/19746503 </v>
      </c>
    </row>
    <row r="76" spans="1:20" ht="15" customHeight="1" x14ac:dyDescent="0.25">
      <c r="A76" s="4" t="s">
        <v>2489</v>
      </c>
      <c r="B76" s="2" t="s">
        <v>2487</v>
      </c>
      <c r="C76" s="2" t="s">
        <v>2488</v>
      </c>
      <c r="D76" s="5" t="s">
        <v>2490</v>
      </c>
      <c r="E76" s="4" t="s">
        <v>2491</v>
      </c>
      <c r="F76" s="6">
        <v>14210606</v>
      </c>
      <c r="G76" s="3">
        <v>14210606</v>
      </c>
      <c r="H76" s="7">
        <v>840144218653</v>
      </c>
      <c r="I76" s="8" t="s">
        <v>161</v>
      </c>
      <c r="J76" s="4">
        <v>12</v>
      </c>
      <c r="K76" s="9">
        <v>15.99</v>
      </c>
      <c r="L76" s="9">
        <v>191.88</v>
      </c>
      <c r="M76" s="4" t="s">
        <v>162</v>
      </c>
      <c r="N76" s="4"/>
      <c r="O76" s="4" t="s">
        <v>2669</v>
      </c>
      <c r="P76" s="4" t="s">
        <v>2539</v>
      </c>
      <c r="Q76" s="4" t="s">
        <v>2670</v>
      </c>
      <c r="R76" s="4"/>
      <c r="S76" s="4"/>
      <c r="T76" s="4" t="str">
        <f>HYPERLINK("http://slimages.macys.com/is/image/MCY/20138239 ")</f>
        <v xml:space="preserve">http://slimages.macys.com/is/image/MCY/20138239 </v>
      </c>
    </row>
    <row r="77" spans="1:20" ht="15" customHeight="1" x14ac:dyDescent="0.25">
      <c r="A77" s="4" t="s">
        <v>2489</v>
      </c>
      <c r="B77" s="2" t="s">
        <v>2487</v>
      </c>
      <c r="C77" s="2" t="s">
        <v>2488</v>
      </c>
      <c r="D77" s="5" t="s">
        <v>2490</v>
      </c>
      <c r="E77" s="4" t="s">
        <v>2491</v>
      </c>
      <c r="F77" s="6">
        <v>14210606</v>
      </c>
      <c r="G77" s="3">
        <v>14210606</v>
      </c>
      <c r="H77" s="7">
        <v>195883817590</v>
      </c>
      <c r="I77" s="8" t="s">
        <v>450</v>
      </c>
      <c r="J77" s="4">
        <v>1</v>
      </c>
      <c r="K77" s="9">
        <v>18.989999999999998</v>
      </c>
      <c r="L77" s="9">
        <v>18.989999999999998</v>
      </c>
      <c r="M77" s="4" t="s">
        <v>451</v>
      </c>
      <c r="N77" s="4" t="s">
        <v>2501</v>
      </c>
      <c r="O77" s="4" t="s">
        <v>2524</v>
      </c>
      <c r="P77" s="4" t="s">
        <v>2536</v>
      </c>
      <c r="Q77" s="4" t="s">
        <v>2944</v>
      </c>
      <c r="R77" s="4"/>
      <c r="S77" s="4"/>
      <c r="T77" s="4"/>
    </row>
    <row r="78" spans="1:20" ht="15" customHeight="1" x14ac:dyDescent="0.25">
      <c r="A78" s="4" t="s">
        <v>2489</v>
      </c>
      <c r="B78" s="2" t="s">
        <v>2487</v>
      </c>
      <c r="C78" s="2" t="s">
        <v>2488</v>
      </c>
      <c r="D78" s="5" t="s">
        <v>2490</v>
      </c>
      <c r="E78" s="4" t="s">
        <v>2491</v>
      </c>
      <c r="F78" s="6">
        <v>14210606</v>
      </c>
      <c r="G78" s="3">
        <v>14210606</v>
      </c>
      <c r="H78" s="7">
        <v>733004722110</v>
      </c>
      <c r="I78" s="8" t="s">
        <v>1384</v>
      </c>
      <c r="J78" s="4">
        <v>2</v>
      </c>
      <c r="K78" s="9">
        <v>20.99</v>
      </c>
      <c r="L78" s="9">
        <v>41.98</v>
      </c>
      <c r="M78" s="4" t="s">
        <v>2787</v>
      </c>
      <c r="N78" s="4" t="s">
        <v>2501</v>
      </c>
      <c r="O78" s="4" t="s">
        <v>2601</v>
      </c>
      <c r="P78" s="4" t="s">
        <v>2503</v>
      </c>
      <c r="Q78" s="4" t="s">
        <v>2504</v>
      </c>
      <c r="R78" s="4"/>
      <c r="S78" s="4"/>
      <c r="T78" s="4" t="str">
        <f>HYPERLINK("http://slimages.macys.com/is/image/MCY/21302919 ")</f>
        <v xml:space="preserve">http://slimages.macys.com/is/image/MCY/21302919 </v>
      </c>
    </row>
    <row r="79" spans="1:20" ht="15" customHeight="1" x14ac:dyDescent="0.25">
      <c r="A79" s="4" t="s">
        <v>2489</v>
      </c>
      <c r="B79" s="2" t="s">
        <v>2487</v>
      </c>
      <c r="C79" s="2" t="s">
        <v>2488</v>
      </c>
      <c r="D79" s="5" t="s">
        <v>2490</v>
      </c>
      <c r="E79" s="4" t="s">
        <v>2491</v>
      </c>
      <c r="F79" s="6">
        <v>14210606</v>
      </c>
      <c r="G79" s="3">
        <v>14210606</v>
      </c>
      <c r="H79" s="7">
        <v>640013923608</v>
      </c>
      <c r="I79" s="8" t="s">
        <v>3097</v>
      </c>
      <c r="J79" s="4">
        <v>1</v>
      </c>
      <c r="K79" s="9">
        <v>10.56</v>
      </c>
      <c r="L79" s="9">
        <v>10.56</v>
      </c>
      <c r="M79" s="4" t="s">
        <v>3060</v>
      </c>
      <c r="N79" s="4" t="s">
        <v>2497</v>
      </c>
      <c r="O79" s="4" t="s">
        <v>2498</v>
      </c>
      <c r="P79" s="4" t="s">
        <v>2556</v>
      </c>
      <c r="Q79" s="4" t="s">
        <v>2557</v>
      </c>
      <c r="R79" s="4"/>
      <c r="S79" s="4"/>
      <c r="T79" s="4" t="str">
        <f>HYPERLINK("http://slimages.macys.com/is/image/MCY/20866503 ")</f>
        <v xml:space="preserve">http://slimages.macys.com/is/image/MCY/20866503 </v>
      </c>
    </row>
    <row r="80" spans="1:20" ht="15" customHeight="1" x14ac:dyDescent="0.25">
      <c r="A80" s="4" t="s">
        <v>2489</v>
      </c>
      <c r="B80" s="2" t="s">
        <v>2487</v>
      </c>
      <c r="C80" s="2" t="s">
        <v>2488</v>
      </c>
      <c r="D80" s="5" t="s">
        <v>2490</v>
      </c>
      <c r="E80" s="4" t="s">
        <v>2491</v>
      </c>
      <c r="F80" s="6">
        <v>14210606</v>
      </c>
      <c r="G80" s="3">
        <v>14210606</v>
      </c>
      <c r="H80" s="7">
        <v>807421112240</v>
      </c>
      <c r="I80" s="8" t="s">
        <v>163</v>
      </c>
      <c r="J80" s="4">
        <v>1</v>
      </c>
      <c r="K80" s="9">
        <v>63.75</v>
      </c>
      <c r="L80" s="9">
        <v>63.75</v>
      </c>
      <c r="M80" s="4" t="s">
        <v>2018</v>
      </c>
      <c r="N80" s="4" t="s">
        <v>2505</v>
      </c>
      <c r="O80" s="4">
        <v>4</v>
      </c>
      <c r="P80" s="4" t="s">
        <v>2619</v>
      </c>
      <c r="Q80" s="4" t="s">
        <v>2733</v>
      </c>
      <c r="R80" s="4"/>
      <c r="S80" s="4"/>
      <c r="T80" s="4" t="str">
        <f>HYPERLINK("http://slimages.macys.com/is/image/MCY/20604365 ")</f>
        <v xml:space="preserve">http://slimages.macys.com/is/image/MCY/20604365 </v>
      </c>
    </row>
    <row r="81" spans="1:20" ht="15" customHeight="1" x14ac:dyDescent="0.25">
      <c r="A81" s="4" t="s">
        <v>2489</v>
      </c>
      <c r="B81" s="2" t="s">
        <v>2487</v>
      </c>
      <c r="C81" s="2" t="s">
        <v>2488</v>
      </c>
      <c r="D81" s="5" t="s">
        <v>2490</v>
      </c>
      <c r="E81" s="4" t="s">
        <v>2491</v>
      </c>
      <c r="F81" s="6">
        <v>14210606</v>
      </c>
      <c r="G81" s="3">
        <v>14210606</v>
      </c>
      <c r="H81" s="7">
        <v>194870625163</v>
      </c>
      <c r="I81" s="8" t="s">
        <v>164</v>
      </c>
      <c r="J81" s="4">
        <v>1</v>
      </c>
      <c r="K81" s="9">
        <v>13.99</v>
      </c>
      <c r="L81" s="9">
        <v>13.99</v>
      </c>
      <c r="M81" s="4" t="s">
        <v>1613</v>
      </c>
      <c r="N81" s="4" t="s">
        <v>2523</v>
      </c>
      <c r="O81" s="4">
        <v>4</v>
      </c>
      <c r="P81" s="4" t="s">
        <v>2499</v>
      </c>
      <c r="Q81" s="4" t="s">
        <v>2663</v>
      </c>
      <c r="R81" s="4"/>
      <c r="S81" s="4"/>
      <c r="T81" s="4" t="str">
        <f>HYPERLINK("http://slimages.macys.com/is/image/MCY/19454076 ")</f>
        <v xml:space="preserve">http://slimages.macys.com/is/image/MCY/19454076 </v>
      </c>
    </row>
    <row r="82" spans="1:20" ht="15" customHeight="1" x14ac:dyDescent="0.25">
      <c r="A82" s="4" t="s">
        <v>2489</v>
      </c>
      <c r="B82" s="2" t="s">
        <v>2487</v>
      </c>
      <c r="C82" s="2" t="s">
        <v>2488</v>
      </c>
      <c r="D82" s="5" t="s">
        <v>2490</v>
      </c>
      <c r="E82" s="4" t="s">
        <v>2491</v>
      </c>
      <c r="F82" s="6">
        <v>14210606</v>
      </c>
      <c r="G82" s="3">
        <v>14210606</v>
      </c>
      <c r="H82" s="7">
        <v>194257622501</v>
      </c>
      <c r="I82" s="8" t="s">
        <v>3160</v>
      </c>
      <c r="J82" s="4">
        <v>1</v>
      </c>
      <c r="K82" s="9">
        <v>9.99</v>
      </c>
      <c r="L82" s="9">
        <v>9.99</v>
      </c>
      <c r="M82" s="4" t="s">
        <v>3161</v>
      </c>
      <c r="N82" s="4" t="s">
        <v>2766</v>
      </c>
      <c r="O82" s="4" t="s">
        <v>2524</v>
      </c>
      <c r="P82" s="4" t="s">
        <v>2499</v>
      </c>
      <c r="Q82" s="4" t="s">
        <v>2525</v>
      </c>
      <c r="R82" s="4"/>
      <c r="S82" s="4"/>
      <c r="T82" s="4" t="str">
        <f>HYPERLINK("http://slimages.macys.com/is/image/MCY/20189634 ")</f>
        <v xml:space="preserve">http://slimages.macys.com/is/image/MCY/20189634 </v>
      </c>
    </row>
    <row r="83" spans="1:20" ht="15" customHeight="1" x14ac:dyDescent="0.25">
      <c r="A83" s="4" t="s">
        <v>2489</v>
      </c>
      <c r="B83" s="2" t="s">
        <v>2487</v>
      </c>
      <c r="C83" s="2" t="s">
        <v>2488</v>
      </c>
      <c r="D83" s="5" t="s">
        <v>2490</v>
      </c>
      <c r="E83" s="4" t="s">
        <v>2491</v>
      </c>
      <c r="F83" s="6">
        <v>14210606</v>
      </c>
      <c r="G83" s="3">
        <v>14210606</v>
      </c>
      <c r="H83" s="7">
        <v>194894132128</v>
      </c>
      <c r="I83" s="8" t="s">
        <v>165</v>
      </c>
      <c r="J83" s="4">
        <v>1</v>
      </c>
      <c r="K83" s="9">
        <v>84.99</v>
      </c>
      <c r="L83" s="9">
        <v>84.99</v>
      </c>
      <c r="M83" s="4">
        <v>1908241</v>
      </c>
      <c r="N83" s="4" t="s">
        <v>2514</v>
      </c>
      <c r="O83" s="4" t="s">
        <v>2555</v>
      </c>
      <c r="P83" s="4" t="s">
        <v>2550</v>
      </c>
      <c r="Q83" s="4" t="s">
        <v>2968</v>
      </c>
      <c r="R83" s="4"/>
      <c r="S83" s="4"/>
      <c r="T83" s="4" t="str">
        <f>HYPERLINK("http://slimages.macys.com/is/image/MCY/21091511 ")</f>
        <v xml:space="preserve">http://slimages.macys.com/is/image/MCY/21091511 </v>
      </c>
    </row>
    <row r="84" spans="1:20" ht="15" customHeight="1" x14ac:dyDescent="0.25">
      <c r="A84" s="4" t="s">
        <v>2489</v>
      </c>
      <c r="B84" s="2" t="s">
        <v>2487</v>
      </c>
      <c r="C84" s="2" t="s">
        <v>2488</v>
      </c>
      <c r="D84" s="5" t="s">
        <v>2490</v>
      </c>
      <c r="E84" s="4" t="s">
        <v>2491</v>
      </c>
      <c r="F84" s="6">
        <v>14210606</v>
      </c>
      <c r="G84" s="3">
        <v>14210606</v>
      </c>
      <c r="H84" s="7">
        <v>192042807317</v>
      </c>
      <c r="I84" s="8" t="s">
        <v>166</v>
      </c>
      <c r="J84" s="4">
        <v>1</v>
      </c>
      <c r="K84" s="9">
        <v>15</v>
      </c>
      <c r="L84" s="9">
        <v>15</v>
      </c>
      <c r="M84" s="4" t="s">
        <v>167</v>
      </c>
      <c r="N84" s="4" t="s">
        <v>2638</v>
      </c>
      <c r="O84" s="4"/>
      <c r="P84" s="4" t="s">
        <v>2622</v>
      </c>
      <c r="Q84" s="4" t="s">
        <v>2623</v>
      </c>
      <c r="R84" s="4" t="s">
        <v>2552</v>
      </c>
      <c r="S84" s="4" t="s">
        <v>3256</v>
      </c>
      <c r="T84" s="4" t="str">
        <f>HYPERLINK("http://slimages.macys.com/is/image/MCY/12954201 ")</f>
        <v xml:space="preserve">http://slimages.macys.com/is/image/MCY/12954201 </v>
      </c>
    </row>
    <row r="85" spans="1:20" ht="15" customHeight="1" x14ac:dyDescent="0.25">
      <c r="A85" s="4" t="s">
        <v>2489</v>
      </c>
      <c r="B85" s="2" t="s">
        <v>2487</v>
      </c>
      <c r="C85" s="2" t="s">
        <v>2488</v>
      </c>
      <c r="D85" s="5" t="s">
        <v>2490</v>
      </c>
      <c r="E85" s="4" t="s">
        <v>2491</v>
      </c>
      <c r="F85" s="6">
        <v>14210606</v>
      </c>
      <c r="G85" s="3">
        <v>14210606</v>
      </c>
      <c r="H85" s="7">
        <v>193666736151</v>
      </c>
      <c r="I85" s="8" t="s">
        <v>168</v>
      </c>
      <c r="J85" s="4">
        <v>1</v>
      </c>
      <c r="K85" s="9">
        <v>6.99</v>
      </c>
      <c r="L85" s="9">
        <v>6.99</v>
      </c>
      <c r="M85" s="4">
        <v>7128</v>
      </c>
      <c r="N85" s="4" t="s">
        <v>2523</v>
      </c>
      <c r="O85" s="4" t="s">
        <v>2519</v>
      </c>
      <c r="P85" s="4" t="s">
        <v>2666</v>
      </c>
      <c r="Q85" s="4" t="s">
        <v>2775</v>
      </c>
      <c r="R85" s="4" t="s">
        <v>2552</v>
      </c>
      <c r="S85" s="4" t="s">
        <v>2779</v>
      </c>
      <c r="T85" s="4" t="str">
        <f>HYPERLINK("http://slimages.macys.com/is/image/MCY/17908327 ")</f>
        <v xml:space="preserve">http://slimages.macys.com/is/image/MCY/17908327 </v>
      </c>
    </row>
    <row r="86" spans="1:20" ht="15" customHeight="1" x14ac:dyDescent="0.25">
      <c r="A86" s="4" t="s">
        <v>2489</v>
      </c>
      <c r="B86" s="2" t="s">
        <v>2487</v>
      </c>
      <c r="C86" s="2" t="s">
        <v>2488</v>
      </c>
      <c r="D86" s="5" t="s">
        <v>2490</v>
      </c>
      <c r="E86" s="4" t="s">
        <v>2491</v>
      </c>
      <c r="F86" s="6">
        <v>14210606</v>
      </c>
      <c r="G86" s="3">
        <v>14210606</v>
      </c>
      <c r="H86" s="7">
        <v>46094961872</v>
      </c>
      <c r="I86" s="8" t="s">
        <v>169</v>
      </c>
      <c r="J86" s="4">
        <v>1</v>
      </c>
      <c r="K86" s="9">
        <v>14.99</v>
      </c>
      <c r="L86" s="9">
        <v>14.99</v>
      </c>
      <c r="M86" s="4">
        <v>7127</v>
      </c>
      <c r="N86" s="4" t="s">
        <v>2497</v>
      </c>
      <c r="O86" s="4" t="s">
        <v>2519</v>
      </c>
      <c r="P86" s="4" t="s">
        <v>2666</v>
      </c>
      <c r="Q86" s="4" t="s">
        <v>2775</v>
      </c>
      <c r="R86" s="4" t="s">
        <v>2552</v>
      </c>
      <c r="S86" s="4" t="s">
        <v>170</v>
      </c>
      <c r="T86" s="4" t="str">
        <f>HYPERLINK("http://slimages.macys.com/is/image/MCY/14718509 ")</f>
        <v xml:space="preserve">http://slimages.macys.com/is/image/MCY/14718509 </v>
      </c>
    </row>
    <row r="87" spans="1:20" ht="15" customHeight="1" x14ac:dyDescent="0.25">
      <c r="A87" s="4" t="s">
        <v>2489</v>
      </c>
      <c r="B87" s="2" t="s">
        <v>2487</v>
      </c>
      <c r="C87" s="2" t="s">
        <v>2488</v>
      </c>
      <c r="D87" s="5" t="s">
        <v>2490</v>
      </c>
      <c r="E87" s="4" t="s">
        <v>2491</v>
      </c>
      <c r="F87" s="6">
        <v>14210606</v>
      </c>
      <c r="G87" s="3">
        <v>14210606</v>
      </c>
      <c r="H87" s="7">
        <v>194257394682</v>
      </c>
      <c r="I87" s="8" t="s">
        <v>171</v>
      </c>
      <c r="J87" s="4">
        <v>1</v>
      </c>
      <c r="K87" s="9">
        <v>9.99</v>
      </c>
      <c r="L87" s="9">
        <v>9.99</v>
      </c>
      <c r="M87" s="4" t="s">
        <v>91</v>
      </c>
      <c r="N87" s="4" t="s">
        <v>2501</v>
      </c>
      <c r="O87" s="4">
        <v>5</v>
      </c>
      <c r="P87" s="4" t="s">
        <v>2499</v>
      </c>
      <c r="Q87" s="4" t="s">
        <v>2525</v>
      </c>
      <c r="R87" s="4"/>
      <c r="S87" s="4"/>
      <c r="T87" s="4" t="str">
        <f>HYPERLINK("http://slimages.macys.com/is/image/MCY/20012391 ")</f>
        <v xml:space="preserve">http://slimages.macys.com/is/image/MCY/20012391 </v>
      </c>
    </row>
    <row r="88" spans="1:20" ht="15" customHeight="1" x14ac:dyDescent="0.25">
      <c r="A88" s="4" t="s">
        <v>2489</v>
      </c>
      <c r="B88" s="2" t="s">
        <v>2487</v>
      </c>
      <c r="C88" s="2" t="s">
        <v>2488</v>
      </c>
      <c r="D88" s="5" t="s">
        <v>2490</v>
      </c>
      <c r="E88" s="4" t="s">
        <v>2491</v>
      </c>
      <c r="F88" s="6">
        <v>14210606</v>
      </c>
      <c r="G88" s="3">
        <v>14210606</v>
      </c>
      <c r="H88" s="7">
        <v>733003632397</v>
      </c>
      <c r="I88" s="8" t="s">
        <v>172</v>
      </c>
      <c r="J88" s="4">
        <v>1</v>
      </c>
      <c r="K88" s="9">
        <v>7.99</v>
      </c>
      <c r="L88" s="9">
        <v>7.99</v>
      </c>
      <c r="M88" s="4" t="s">
        <v>173</v>
      </c>
      <c r="N88" s="4" t="s">
        <v>2523</v>
      </c>
      <c r="O88" s="4">
        <v>6</v>
      </c>
      <c r="P88" s="4" t="s">
        <v>2520</v>
      </c>
      <c r="Q88" s="4" t="s">
        <v>2528</v>
      </c>
      <c r="R88" s="4"/>
      <c r="S88" s="4"/>
      <c r="T88" s="4" t="str">
        <f>HYPERLINK("http://slimages.macys.com/is/image/MCY/19564842 ")</f>
        <v xml:space="preserve">http://slimages.macys.com/is/image/MCY/19564842 </v>
      </c>
    </row>
    <row r="89" spans="1:20" ht="15" customHeight="1" x14ac:dyDescent="0.25">
      <c r="A89" s="4" t="s">
        <v>2489</v>
      </c>
      <c r="B89" s="2" t="s">
        <v>2487</v>
      </c>
      <c r="C89" s="2" t="s">
        <v>2488</v>
      </c>
      <c r="D89" s="5" t="s">
        <v>2490</v>
      </c>
      <c r="E89" s="4" t="s">
        <v>2491</v>
      </c>
      <c r="F89" s="6">
        <v>14210606</v>
      </c>
      <c r="G89" s="3">
        <v>14210606</v>
      </c>
      <c r="H89" s="7">
        <v>733003642730</v>
      </c>
      <c r="I89" s="8" t="s">
        <v>2512</v>
      </c>
      <c r="J89" s="4">
        <v>4</v>
      </c>
      <c r="K89" s="9">
        <v>22.99</v>
      </c>
      <c r="L89" s="9">
        <v>91.96</v>
      </c>
      <c r="M89" s="4" t="s">
        <v>2513</v>
      </c>
      <c r="N89" s="4" t="s">
        <v>2514</v>
      </c>
      <c r="O89" s="4" t="s">
        <v>2498</v>
      </c>
      <c r="P89" s="4" t="s">
        <v>2515</v>
      </c>
      <c r="Q89" s="4" t="s">
        <v>2516</v>
      </c>
      <c r="R89" s="4"/>
      <c r="S89" s="4"/>
      <c r="T89" s="4" t="str">
        <f>HYPERLINK("http://slimages.macys.com/is/image/MCY/20008078 ")</f>
        <v xml:space="preserve">http://slimages.macys.com/is/image/MCY/20008078 </v>
      </c>
    </row>
    <row r="90" spans="1:20" ht="15" customHeight="1" x14ac:dyDescent="0.25">
      <c r="A90" s="4" t="s">
        <v>2489</v>
      </c>
      <c r="B90" s="2" t="s">
        <v>2487</v>
      </c>
      <c r="C90" s="2" t="s">
        <v>2488</v>
      </c>
      <c r="D90" s="5" t="s">
        <v>2490</v>
      </c>
      <c r="E90" s="4" t="s">
        <v>2491</v>
      </c>
      <c r="F90" s="6">
        <v>14210606</v>
      </c>
      <c r="G90" s="3">
        <v>14210606</v>
      </c>
      <c r="H90" s="7">
        <v>733003926786</v>
      </c>
      <c r="I90" s="8" t="s">
        <v>3113</v>
      </c>
      <c r="J90" s="4">
        <v>2</v>
      </c>
      <c r="K90" s="9">
        <v>5.99</v>
      </c>
      <c r="L90" s="9">
        <v>11.98</v>
      </c>
      <c r="M90" s="4" t="s">
        <v>1632</v>
      </c>
      <c r="N90" s="4" t="s">
        <v>2600</v>
      </c>
      <c r="O90" s="4" t="s">
        <v>2601</v>
      </c>
      <c r="P90" s="4" t="s">
        <v>2503</v>
      </c>
      <c r="Q90" s="4" t="s">
        <v>2504</v>
      </c>
      <c r="R90" s="4"/>
      <c r="S90" s="4"/>
      <c r="T90" s="4" t="str">
        <f>HYPERLINK("http://slimages.macys.com/is/image/MCY/903950 ")</f>
        <v xml:space="preserve">http://slimages.macys.com/is/image/MCY/903950 </v>
      </c>
    </row>
    <row r="91" spans="1:20" ht="15" customHeight="1" x14ac:dyDescent="0.25">
      <c r="A91" s="4" t="s">
        <v>2489</v>
      </c>
      <c r="B91" s="2" t="s">
        <v>2487</v>
      </c>
      <c r="C91" s="2" t="s">
        <v>2488</v>
      </c>
      <c r="D91" s="5" t="s">
        <v>2490</v>
      </c>
      <c r="E91" s="4" t="s">
        <v>2491</v>
      </c>
      <c r="F91" s="6">
        <v>14210606</v>
      </c>
      <c r="G91" s="3">
        <v>14210606</v>
      </c>
      <c r="H91" s="7">
        <v>733003926793</v>
      </c>
      <c r="I91" s="8" t="s">
        <v>2965</v>
      </c>
      <c r="J91" s="4">
        <v>1</v>
      </c>
      <c r="K91" s="9">
        <v>5.99</v>
      </c>
      <c r="L91" s="9">
        <v>5.99</v>
      </c>
      <c r="M91" s="4" t="s">
        <v>1632</v>
      </c>
      <c r="N91" s="4" t="s">
        <v>2600</v>
      </c>
      <c r="O91" s="4" t="s">
        <v>2566</v>
      </c>
      <c r="P91" s="4" t="s">
        <v>2503</v>
      </c>
      <c r="Q91" s="4" t="s">
        <v>2504</v>
      </c>
      <c r="R91" s="4"/>
      <c r="S91" s="4"/>
      <c r="T91" s="4" t="str">
        <f>HYPERLINK("http://slimages.macys.com/is/image/MCY/903950 ")</f>
        <v xml:space="preserve">http://slimages.macys.com/is/image/MCY/903950 </v>
      </c>
    </row>
    <row r="92" spans="1:20" ht="15" customHeight="1" x14ac:dyDescent="0.25">
      <c r="A92" s="4" t="s">
        <v>2489</v>
      </c>
      <c r="B92" s="2" t="s">
        <v>2487</v>
      </c>
      <c r="C92" s="2" t="s">
        <v>2488</v>
      </c>
      <c r="D92" s="5" t="s">
        <v>2490</v>
      </c>
      <c r="E92" s="4" t="s">
        <v>2491</v>
      </c>
      <c r="F92" s="6">
        <v>14210606</v>
      </c>
      <c r="G92" s="3">
        <v>14210606</v>
      </c>
      <c r="H92" s="7">
        <v>733004779237</v>
      </c>
      <c r="I92" s="8" t="s">
        <v>3217</v>
      </c>
      <c r="J92" s="4">
        <v>2</v>
      </c>
      <c r="K92" s="9">
        <v>7.99</v>
      </c>
      <c r="L92" s="9">
        <v>15.98</v>
      </c>
      <c r="M92" s="4" t="s">
        <v>2719</v>
      </c>
      <c r="N92" s="4" t="s">
        <v>2565</v>
      </c>
      <c r="O92" s="4" t="s">
        <v>2628</v>
      </c>
      <c r="P92" s="4" t="s">
        <v>2602</v>
      </c>
      <c r="Q92" s="4" t="s">
        <v>2528</v>
      </c>
      <c r="R92" s="4"/>
      <c r="S92" s="4"/>
      <c r="T92" s="4" t="str">
        <f>HYPERLINK("http://slimages.macys.com/is/image/MCY/1106903 ")</f>
        <v xml:space="preserve">http://slimages.macys.com/is/image/MCY/1106903 </v>
      </c>
    </row>
    <row r="93" spans="1:20" ht="15" customHeight="1" x14ac:dyDescent="0.25">
      <c r="A93" s="4" t="s">
        <v>2489</v>
      </c>
      <c r="B93" s="2" t="s">
        <v>2487</v>
      </c>
      <c r="C93" s="2" t="s">
        <v>2488</v>
      </c>
      <c r="D93" s="5" t="s">
        <v>2490</v>
      </c>
      <c r="E93" s="4" t="s">
        <v>2491</v>
      </c>
      <c r="F93" s="6">
        <v>14210606</v>
      </c>
      <c r="G93" s="3">
        <v>14210606</v>
      </c>
      <c r="H93" s="7">
        <v>762120214001</v>
      </c>
      <c r="I93" s="8" t="s">
        <v>174</v>
      </c>
      <c r="J93" s="4">
        <v>1</v>
      </c>
      <c r="K93" s="9">
        <v>21.99</v>
      </c>
      <c r="L93" s="9">
        <v>21.99</v>
      </c>
      <c r="M93" s="4" t="s">
        <v>3296</v>
      </c>
      <c r="N93" s="4" t="s">
        <v>2665</v>
      </c>
      <c r="O93" s="4" t="s">
        <v>2519</v>
      </c>
      <c r="P93" s="4" t="s">
        <v>2515</v>
      </c>
      <c r="Q93" s="4" t="s">
        <v>2672</v>
      </c>
      <c r="R93" s="4"/>
      <c r="S93" s="4"/>
      <c r="T93" s="4" t="str">
        <f>HYPERLINK("http://slimages.macys.com/is/image/MCY/20411691 ")</f>
        <v xml:space="preserve">http://slimages.macys.com/is/image/MCY/20411691 </v>
      </c>
    </row>
    <row r="94" spans="1:20" ht="15" customHeight="1" x14ac:dyDescent="0.25">
      <c r="A94" s="4" t="s">
        <v>2489</v>
      </c>
      <c r="B94" s="2" t="s">
        <v>2487</v>
      </c>
      <c r="C94" s="2" t="s">
        <v>2488</v>
      </c>
      <c r="D94" s="5" t="s">
        <v>2490</v>
      </c>
      <c r="E94" s="4" t="s">
        <v>2491</v>
      </c>
      <c r="F94" s="6">
        <v>14210606</v>
      </c>
      <c r="G94" s="3">
        <v>14210606</v>
      </c>
      <c r="H94" s="7">
        <v>733004765032</v>
      </c>
      <c r="I94" s="8" t="s">
        <v>2045</v>
      </c>
      <c r="J94" s="4">
        <v>1</v>
      </c>
      <c r="K94" s="9">
        <v>21.99</v>
      </c>
      <c r="L94" s="9">
        <v>21.99</v>
      </c>
      <c r="M94" s="4" t="s">
        <v>3428</v>
      </c>
      <c r="N94" s="4" t="s">
        <v>2598</v>
      </c>
      <c r="O94" s="4" t="s">
        <v>2671</v>
      </c>
      <c r="P94" s="4" t="s">
        <v>2515</v>
      </c>
      <c r="Q94" s="4" t="s">
        <v>2672</v>
      </c>
      <c r="R94" s="4"/>
      <c r="S94" s="4"/>
      <c r="T94" s="4" t="str">
        <f>HYPERLINK("http://slimages.macys.com/is/image/MCY/20530565 ")</f>
        <v xml:space="preserve">http://slimages.macys.com/is/image/MCY/20530565 </v>
      </c>
    </row>
    <row r="95" spans="1:20" ht="15" customHeight="1" x14ac:dyDescent="0.25">
      <c r="A95" s="4" t="s">
        <v>2489</v>
      </c>
      <c r="B95" s="2" t="s">
        <v>2487</v>
      </c>
      <c r="C95" s="2" t="s">
        <v>2488</v>
      </c>
      <c r="D95" s="5" t="s">
        <v>2490</v>
      </c>
      <c r="E95" s="4" t="s">
        <v>2491</v>
      </c>
      <c r="F95" s="6">
        <v>14210606</v>
      </c>
      <c r="G95" s="3">
        <v>14210606</v>
      </c>
      <c r="H95" s="7">
        <v>762120084710</v>
      </c>
      <c r="I95" s="8" t="s">
        <v>1902</v>
      </c>
      <c r="J95" s="4">
        <v>2</v>
      </c>
      <c r="K95" s="9">
        <v>7.99</v>
      </c>
      <c r="L95" s="9">
        <v>15.98</v>
      </c>
      <c r="M95" s="4" t="s">
        <v>3212</v>
      </c>
      <c r="N95" s="4" t="s">
        <v>2638</v>
      </c>
      <c r="O95" s="4">
        <v>5</v>
      </c>
      <c r="P95" s="4" t="s">
        <v>2602</v>
      </c>
      <c r="Q95" s="4" t="s">
        <v>2528</v>
      </c>
      <c r="R95" s="4"/>
      <c r="S95" s="4"/>
      <c r="T95" s="4" t="str">
        <f>HYPERLINK("http://slimages.macys.com/is/image/MCY/20691779 ")</f>
        <v xml:space="preserve">http://slimages.macys.com/is/image/MCY/20691779 </v>
      </c>
    </row>
    <row r="96" spans="1:20" ht="15" customHeight="1" x14ac:dyDescent="0.25">
      <c r="A96" s="4" t="s">
        <v>2489</v>
      </c>
      <c r="B96" s="2" t="s">
        <v>2487</v>
      </c>
      <c r="C96" s="2" t="s">
        <v>2488</v>
      </c>
      <c r="D96" s="5" t="s">
        <v>2490</v>
      </c>
      <c r="E96" s="4" t="s">
        <v>2491</v>
      </c>
      <c r="F96" s="6">
        <v>14210606</v>
      </c>
      <c r="G96" s="3">
        <v>14210606</v>
      </c>
      <c r="H96" s="7">
        <v>762120087483</v>
      </c>
      <c r="I96" s="8" t="s">
        <v>3182</v>
      </c>
      <c r="J96" s="4">
        <v>1</v>
      </c>
      <c r="K96" s="9">
        <v>7.99</v>
      </c>
      <c r="L96" s="9">
        <v>7.99</v>
      </c>
      <c r="M96" s="4" t="s">
        <v>1332</v>
      </c>
      <c r="N96" s="4" t="s">
        <v>2492</v>
      </c>
      <c r="O96" s="4" t="s">
        <v>2650</v>
      </c>
      <c r="P96" s="4" t="s">
        <v>2602</v>
      </c>
      <c r="Q96" s="4" t="s">
        <v>2528</v>
      </c>
      <c r="R96" s="4"/>
      <c r="S96" s="4"/>
      <c r="T96" s="4" t="str">
        <f>HYPERLINK("http://slimages.macys.com/is/image/MCY/20691905 ")</f>
        <v xml:space="preserve">http://slimages.macys.com/is/image/MCY/20691905 </v>
      </c>
    </row>
    <row r="97" spans="1:20" ht="15" customHeight="1" x14ac:dyDescent="0.25">
      <c r="A97" s="4" t="s">
        <v>2489</v>
      </c>
      <c r="B97" s="2" t="s">
        <v>2487</v>
      </c>
      <c r="C97" s="2" t="s">
        <v>2488</v>
      </c>
      <c r="D97" s="5" t="s">
        <v>2490</v>
      </c>
      <c r="E97" s="4" t="s">
        <v>2491</v>
      </c>
      <c r="F97" s="6">
        <v>14210606</v>
      </c>
      <c r="G97" s="3">
        <v>14210606</v>
      </c>
      <c r="H97" s="7">
        <v>733004780011</v>
      </c>
      <c r="I97" s="8" t="s">
        <v>1964</v>
      </c>
      <c r="J97" s="4">
        <v>1</v>
      </c>
      <c r="K97" s="9">
        <v>7.99</v>
      </c>
      <c r="L97" s="9">
        <v>7.99</v>
      </c>
      <c r="M97" s="4" t="s">
        <v>3128</v>
      </c>
      <c r="N97" s="4" t="s">
        <v>2632</v>
      </c>
      <c r="O97" s="4" t="s">
        <v>2650</v>
      </c>
      <c r="P97" s="4" t="s">
        <v>2602</v>
      </c>
      <c r="Q97" s="4" t="s">
        <v>2528</v>
      </c>
      <c r="R97" s="4"/>
      <c r="S97" s="4"/>
      <c r="T97" s="4" t="str">
        <f>HYPERLINK("http://slimages.macys.com/is/image/MCY/20450161 ")</f>
        <v xml:space="preserve">http://slimages.macys.com/is/image/MCY/20450161 </v>
      </c>
    </row>
    <row r="98" spans="1:20" ht="15" customHeight="1" x14ac:dyDescent="0.25">
      <c r="A98" s="4" t="s">
        <v>2489</v>
      </c>
      <c r="B98" s="2" t="s">
        <v>2487</v>
      </c>
      <c r="C98" s="2" t="s">
        <v>2488</v>
      </c>
      <c r="D98" s="5" t="s">
        <v>2490</v>
      </c>
      <c r="E98" s="4" t="s">
        <v>2491</v>
      </c>
      <c r="F98" s="6">
        <v>14210606</v>
      </c>
      <c r="G98" s="3">
        <v>14210606</v>
      </c>
      <c r="H98" s="7">
        <v>733003643010</v>
      </c>
      <c r="I98" s="8" t="s">
        <v>1952</v>
      </c>
      <c r="J98" s="4">
        <v>1</v>
      </c>
      <c r="K98" s="9">
        <v>21.99</v>
      </c>
      <c r="L98" s="9">
        <v>21.99</v>
      </c>
      <c r="M98" s="4" t="s">
        <v>1917</v>
      </c>
      <c r="N98" s="4" t="s">
        <v>2567</v>
      </c>
      <c r="O98" s="4" t="s">
        <v>2555</v>
      </c>
      <c r="P98" s="4" t="s">
        <v>2515</v>
      </c>
      <c r="Q98" s="4" t="s">
        <v>2516</v>
      </c>
      <c r="R98" s="4"/>
      <c r="S98" s="4"/>
      <c r="T98" s="4" t="str">
        <f>HYPERLINK("http://slimages.macys.com/is/image/MCY/20008274 ")</f>
        <v xml:space="preserve">http://slimages.macys.com/is/image/MCY/20008274 </v>
      </c>
    </row>
    <row r="99" spans="1:20" ht="15" customHeight="1" x14ac:dyDescent="0.25">
      <c r="A99" s="4" t="s">
        <v>2489</v>
      </c>
      <c r="B99" s="2" t="s">
        <v>2487</v>
      </c>
      <c r="C99" s="2" t="s">
        <v>2488</v>
      </c>
      <c r="D99" s="5" t="s">
        <v>2490</v>
      </c>
      <c r="E99" s="4" t="s">
        <v>2491</v>
      </c>
      <c r="F99" s="6">
        <v>14210606</v>
      </c>
      <c r="G99" s="3">
        <v>14210606</v>
      </c>
      <c r="H99" s="7">
        <v>733004780592</v>
      </c>
      <c r="I99" s="8" t="s">
        <v>2015</v>
      </c>
      <c r="J99" s="4">
        <v>5</v>
      </c>
      <c r="K99" s="9">
        <v>11.99</v>
      </c>
      <c r="L99" s="9">
        <v>59.95</v>
      </c>
      <c r="M99" s="4" t="s">
        <v>3083</v>
      </c>
      <c r="N99" s="4" t="s">
        <v>2501</v>
      </c>
      <c r="O99" s="4" t="s">
        <v>2628</v>
      </c>
      <c r="P99" s="4" t="s">
        <v>2602</v>
      </c>
      <c r="Q99" s="4" t="s">
        <v>2528</v>
      </c>
      <c r="R99" s="4"/>
      <c r="S99" s="4"/>
      <c r="T99" s="4" t="str">
        <f>HYPERLINK("http://slimages.macys.com/is/image/MCY/1110249 ")</f>
        <v xml:space="preserve">http://slimages.macys.com/is/image/MCY/1110249 </v>
      </c>
    </row>
    <row r="100" spans="1:20" ht="15" customHeight="1" x14ac:dyDescent="0.25">
      <c r="A100" s="4" t="s">
        <v>2489</v>
      </c>
      <c r="B100" s="2" t="s">
        <v>2487</v>
      </c>
      <c r="C100" s="2" t="s">
        <v>2488</v>
      </c>
      <c r="D100" s="5" t="s">
        <v>2490</v>
      </c>
      <c r="E100" s="4" t="s">
        <v>2491</v>
      </c>
      <c r="F100" s="6">
        <v>14210606</v>
      </c>
      <c r="G100" s="3">
        <v>14210606</v>
      </c>
      <c r="H100" s="7">
        <v>194133421884</v>
      </c>
      <c r="I100" s="8" t="s">
        <v>175</v>
      </c>
      <c r="J100" s="4">
        <v>1</v>
      </c>
      <c r="K100" s="9">
        <v>13.2</v>
      </c>
      <c r="L100" s="9">
        <v>13.2</v>
      </c>
      <c r="M100" s="4" t="s">
        <v>176</v>
      </c>
      <c r="N100" s="4"/>
      <c r="O100" s="4" t="s">
        <v>2591</v>
      </c>
      <c r="P100" s="4" t="s">
        <v>2494</v>
      </c>
      <c r="Q100" s="4" t="s">
        <v>2495</v>
      </c>
      <c r="R100" s="4"/>
      <c r="S100" s="4"/>
      <c r="T100" s="4" t="str">
        <f>HYPERLINK("http://slimages.macys.com/is/image/MCY/19836139 ")</f>
        <v xml:space="preserve">http://slimages.macys.com/is/image/MCY/19836139 </v>
      </c>
    </row>
    <row r="101" spans="1:20" ht="15" customHeight="1" x14ac:dyDescent="0.25">
      <c r="A101" s="4" t="s">
        <v>2489</v>
      </c>
      <c r="B101" s="2" t="s">
        <v>2487</v>
      </c>
      <c r="C101" s="2" t="s">
        <v>2488</v>
      </c>
      <c r="D101" s="5" t="s">
        <v>2490</v>
      </c>
      <c r="E101" s="4" t="s">
        <v>2491</v>
      </c>
      <c r="F101" s="6">
        <v>14210606</v>
      </c>
      <c r="G101" s="3">
        <v>14210606</v>
      </c>
      <c r="H101" s="7">
        <v>194257565082</v>
      </c>
      <c r="I101" s="8" t="s">
        <v>2232</v>
      </c>
      <c r="J101" s="4">
        <v>1</v>
      </c>
      <c r="K101" s="9">
        <v>14.99</v>
      </c>
      <c r="L101" s="9">
        <v>14.99</v>
      </c>
      <c r="M101" s="4" t="s">
        <v>3279</v>
      </c>
      <c r="N101" s="4" t="s">
        <v>2497</v>
      </c>
      <c r="O101" s="4" t="s">
        <v>2653</v>
      </c>
      <c r="P101" s="4" t="s">
        <v>2619</v>
      </c>
      <c r="Q101" s="4" t="s">
        <v>2654</v>
      </c>
      <c r="R101" s="4"/>
      <c r="S101" s="4"/>
      <c r="T101" s="4" t="str">
        <f>HYPERLINK("http://slimages.macys.com/is/image/MCY/19941195 ")</f>
        <v xml:space="preserve">http://slimages.macys.com/is/image/MCY/19941195 </v>
      </c>
    </row>
    <row r="102" spans="1:20" ht="15" customHeight="1" x14ac:dyDescent="0.25">
      <c r="A102" s="4" t="s">
        <v>2489</v>
      </c>
      <c r="B102" s="2" t="s">
        <v>2487</v>
      </c>
      <c r="C102" s="2" t="s">
        <v>2488</v>
      </c>
      <c r="D102" s="5" t="s">
        <v>2490</v>
      </c>
      <c r="E102" s="4" t="s">
        <v>2491</v>
      </c>
      <c r="F102" s="6">
        <v>14210606</v>
      </c>
      <c r="G102" s="3">
        <v>14210606</v>
      </c>
      <c r="H102" s="7">
        <v>733004779411</v>
      </c>
      <c r="I102" s="8" t="s">
        <v>2291</v>
      </c>
      <c r="J102" s="4">
        <v>2</v>
      </c>
      <c r="K102" s="9">
        <v>7.99</v>
      </c>
      <c r="L102" s="9">
        <v>15.98</v>
      </c>
      <c r="M102" s="4" t="s">
        <v>2292</v>
      </c>
      <c r="N102" s="4" t="s">
        <v>2501</v>
      </c>
      <c r="O102" s="4" t="s">
        <v>2628</v>
      </c>
      <c r="P102" s="4" t="s">
        <v>2602</v>
      </c>
      <c r="Q102" s="4" t="s">
        <v>2528</v>
      </c>
      <c r="R102" s="4"/>
      <c r="S102" s="4"/>
      <c r="T102" s="4" t="str">
        <f>HYPERLINK("http://slimages.macys.com/is/image/MCY/20450158 ")</f>
        <v xml:space="preserve">http://slimages.macys.com/is/image/MCY/20450158 </v>
      </c>
    </row>
    <row r="103" spans="1:20" ht="15" customHeight="1" x14ac:dyDescent="0.25">
      <c r="A103" s="4" t="s">
        <v>2489</v>
      </c>
      <c r="B103" s="2" t="s">
        <v>2487</v>
      </c>
      <c r="C103" s="2" t="s">
        <v>2488</v>
      </c>
      <c r="D103" s="5" t="s">
        <v>2490</v>
      </c>
      <c r="E103" s="4" t="s">
        <v>2491</v>
      </c>
      <c r="F103" s="6">
        <v>14210606</v>
      </c>
      <c r="G103" s="3">
        <v>14210606</v>
      </c>
      <c r="H103" s="7">
        <v>733004722738</v>
      </c>
      <c r="I103" s="8" t="s">
        <v>1582</v>
      </c>
      <c r="J103" s="4">
        <v>2</v>
      </c>
      <c r="K103" s="9">
        <v>25.99</v>
      </c>
      <c r="L103" s="9">
        <v>51.98</v>
      </c>
      <c r="M103" s="4" t="s">
        <v>3193</v>
      </c>
      <c r="N103" s="4" t="s">
        <v>2530</v>
      </c>
      <c r="O103" s="4" t="s">
        <v>2502</v>
      </c>
      <c r="P103" s="4" t="s">
        <v>2503</v>
      </c>
      <c r="Q103" s="4" t="s">
        <v>2504</v>
      </c>
      <c r="R103" s="4"/>
      <c r="S103" s="4"/>
      <c r="T103" s="4" t="str">
        <f>HYPERLINK("http://slimages.macys.com/is/image/MCY/19977902 ")</f>
        <v xml:space="preserve">http://slimages.macys.com/is/image/MCY/19977902 </v>
      </c>
    </row>
    <row r="104" spans="1:20" ht="15" customHeight="1" x14ac:dyDescent="0.25">
      <c r="A104" s="4" t="s">
        <v>2489</v>
      </c>
      <c r="B104" s="2" t="s">
        <v>2487</v>
      </c>
      <c r="C104" s="2" t="s">
        <v>2488</v>
      </c>
      <c r="D104" s="5" t="s">
        <v>2490</v>
      </c>
      <c r="E104" s="4" t="s">
        <v>2491</v>
      </c>
      <c r="F104" s="6">
        <v>14210606</v>
      </c>
      <c r="G104" s="3">
        <v>14210606</v>
      </c>
      <c r="H104" s="7">
        <v>733004739774</v>
      </c>
      <c r="I104" s="8" t="s">
        <v>1984</v>
      </c>
      <c r="J104" s="4">
        <v>2</v>
      </c>
      <c r="K104" s="9">
        <v>6.99</v>
      </c>
      <c r="L104" s="9">
        <v>13.98</v>
      </c>
      <c r="M104" s="4" t="s">
        <v>1985</v>
      </c>
      <c r="N104" s="4" t="s">
        <v>2531</v>
      </c>
      <c r="O104" s="4" t="s">
        <v>2493</v>
      </c>
      <c r="P104" s="4" t="s">
        <v>2503</v>
      </c>
      <c r="Q104" s="4" t="s">
        <v>2504</v>
      </c>
      <c r="R104" s="4"/>
      <c r="S104" s="4"/>
      <c r="T104" s="4" t="str">
        <f>HYPERLINK("http://slimages.macys.com/is/image/MCY/20466473 ")</f>
        <v xml:space="preserve">http://slimages.macys.com/is/image/MCY/20466473 </v>
      </c>
    </row>
    <row r="105" spans="1:20" ht="15" customHeight="1" x14ac:dyDescent="0.25">
      <c r="A105" s="4" t="s">
        <v>2489</v>
      </c>
      <c r="B105" s="2" t="s">
        <v>2487</v>
      </c>
      <c r="C105" s="2" t="s">
        <v>2488</v>
      </c>
      <c r="D105" s="5" t="s">
        <v>2490</v>
      </c>
      <c r="E105" s="4" t="s">
        <v>2491</v>
      </c>
      <c r="F105" s="6">
        <v>14210606</v>
      </c>
      <c r="G105" s="3">
        <v>14210606</v>
      </c>
      <c r="H105" s="7">
        <v>762120023481</v>
      </c>
      <c r="I105" s="8" t="s">
        <v>2290</v>
      </c>
      <c r="J105" s="4">
        <v>1</v>
      </c>
      <c r="K105" s="9">
        <v>6.99</v>
      </c>
      <c r="L105" s="9">
        <v>6.99</v>
      </c>
      <c r="M105" s="4" t="s">
        <v>2517</v>
      </c>
      <c r="N105" s="4" t="s">
        <v>2565</v>
      </c>
      <c r="O105" s="4" t="s">
        <v>2502</v>
      </c>
      <c r="P105" s="4" t="s">
        <v>2503</v>
      </c>
      <c r="Q105" s="4" t="s">
        <v>2504</v>
      </c>
      <c r="R105" s="4"/>
      <c r="S105" s="4"/>
      <c r="T105" s="4" t="str">
        <f>HYPERLINK("http://slimages.macys.com/is/image/MCY/19977451 ")</f>
        <v xml:space="preserve">http://slimages.macys.com/is/image/MCY/19977451 </v>
      </c>
    </row>
    <row r="106" spans="1:20" ht="15" customHeight="1" x14ac:dyDescent="0.25">
      <c r="A106" s="4" t="s">
        <v>2489</v>
      </c>
      <c r="B106" s="2" t="s">
        <v>2487</v>
      </c>
      <c r="C106" s="2" t="s">
        <v>2488</v>
      </c>
      <c r="D106" s="5" t="s">
        <v>2490</v>
      </c>
      <c r="E106" s="4" t="s">
        <v>2491</v>
      </c>
      <c r="F106" s="6">
        <v>14210606</v>
      </c>
      <c r="G106" s="3">
        <v>14210606</v>
      </c>
      <c r="H106" s="7">
        <v>733003805036</v>
      </c>
      <c r="I106" s="8" t="s">
        <v>3263</v>
      </c>
      <c r="J106" s="4">
        <v>1</v>
      </c>
      <c r="K106" s="9">
        <v>5.99</v>
      </c>
      <c r="L106" s="9">
        <v>5.99</v>
      </c>
      <c r="M106" s="4" t="s">
        <v>3232</v>
      </c>
      <c r="N106" s="4" t="s">
        <v>2682</v>
      </c>
      <c r="O106" s="4" t="s">
        <v>2629</v>
      </c>
      <c r="P106" s="4" t="s">
        <v>2520</v>
      </c>
      <c r="Q106" s="4" t="s">
        <v>2528</v>
      </c>
      <c r="R106" s="4"/>
      <c r="S106" s="4"/>
      <c r="T106" s="4" t="str">
        <f>HYPERLINK("http://slimages.macys.com/is/image/MCY/19239511 ")</f>
        <v xml:space="preserve">http://slimages.macys.com/is/image/MCY/19239511 </v>
      </c>
    </row>
    <row r="107" spans="1:20" ht="15" customHeight="1" x14ac:dyDescent="0.25">
      <c r="A107" s="4" t="s">
        <v>2489</v>
      </c>
      <c r="B107" s="2" t="s">
        <v>2487</v>
      </c>
      <c r="C107" s="2" t="s">
        <v>2488</v>
      </c>
      <c r="D107" s="5" t="s">
        <v>2490</v>
      </c>
      <c r="E107" s="4" t="s">
        <v>2491</v>
      </c>
      <c r="F107" s="6">
        <v>14210606</v>
      </c>
      <c r="G107" s="3">
        <v>14210606</v>
      </c>
      <c r="H107" s="7">
        <v>733002944293</v>
      </c>
      <c r="I107" s="8" t="s">
        <v>3231</v>
      </c>
      <c r="J107" s="4">
        <v>1</v>
      </c>
      <c r="K107" s="9">
        <v>5.99</v>
      </c>
      <c r="L107" s="9">
        <v>5.99</v>
      </c>
      <c r="M107" s="4" t="s">
        <v>3232</v>
      </c>
      <c r="N107" s="4" t="s">
        <v>2508</v>
      </c>
      <c r="O107" s="4" t="s">
        <v>2587</v>
      </c>
      <c r="P107" s="4" t="s">
        <v>2520</v>
      </c>
      <c r="Q107" s="4" t="s">
        <v>2528</v>
      </c>
      <c r="R107" s="4"/>
      <c r="S107" s="4"/>
      <c r="T107" s="4" t="str">
        <f>HYPERLINK("http://slimages.macys.com/is/image/MCY/19239511 ")</f>
        <v xml:space="preserve">http://slimages.macys.com/is/image/MCY/19239511 </v>
      </c>
    </row>
    <row r="108" spans="1:20" ht="15" customHeight="1" x14ac:dyDescent="0.25">
      <c r="A108" s="4" t="s">
        <v>2489</v>
      </c>
      <c r="B108" s="2" t="s">
        <v>2487</v>
      </c>
      <c r="C108" s="2" t="s">
        <v>2488</v>
      </c>
      <c r="D108" s="5" t="s">
        <v>2490</v>
      </c>
      <c r="E108" s="4" t="s">
        <v>2491</v>
      </c>
      <c r="F108" s="6">
        <v>14210606</v>
      </c>
      <c r="G108" s="3">
        <v>14210606</v>
      </c>
      <c r="H108" s="7">
        <v>194257621436</v>
      </c>
      <c r="I108" s="8" t="s">
        <v>1446</v>
      </c>
      <c r="J108" s="4">
        <v>1</v>
      </c>
      <c r="K108" s="9">
        <v>7.99</v>
      </c>
      <c r="L108" s="9">
        <v>7.99</v>
      </c>
      <c r="M108" s="4" t="s">
        <v>2684</v>
      </c>
      <c r="N108" s="4" t="s">
        <v>2685</v>
      </c>
      <c r="O108" s="4" t="s">
        <v>2705</v>
      </c>
      <c r="P108" s="4" t="s">
        <v>2499</v>
      </c>
      <c r="Q108" s="4" t="s">
        <v>2525</v>
      </c>
      <c r="R108" s="4"/>
      <c r="S108" s="4"/>
      <c r="T108" s="4" t="str">
        <f>HYPERLINK("http://slimages.macys.com/is/image/MCY/20417762 ")</f>
        <v xml:space="preserve">http://slimages.macys.com/is/image/MCY/20417762 </v>
      </c>
    </row>
    <row r="109" spans="1:20" ht="15" customHeight="1" x14ac:dyDescent="0.25">
      <c r="A109" s="4" t="s">
        <v>2489</v>
      </c>
      <c r="B109" s="2" t="s">
        <v>2487</v>
      </c>
      <c r="C109" s="2" t="s">
        <v>2488</v>
      </c>
      <c r="D109" s="5" t="s">
        <v>2490</v>
      </c>
      <c r="E109" s="4" t="s">
        <v>2491</v>
      </c>
      <c r="F109" s="6">
        <v>14210606</v>
      </c>
      <c r="G109" s="3">
        <v>14210606</v>
      </c>
      <c r="H109" s="7">
        <v>733004752070</v>
      </c>
      <c r="I109" s="8" t="s">
        <v>2128</v>
      </c>
      <c r="J109" s="4">
        <v>1</v>
      </c>
      <c r="K109" s="9">
        <v>13.99</v>
      </c>
      <c r="L109" s="9">
        <v>13.99</v>
      </c>
      <c r="M109" s="4" t="s">
        <v>1796</v>
      </c>
      <c r="N109" s="4" t="s">
        <v>2548</v>
      </c>
      <c r="O109" s="4" t="s">
        <v>2498</v>
      </c>
      <c r="P109" s="4" t="s">
        <v>2543</v>
      </c>
      <c r="Q109" s="4" t="s">
        <v>2528</v>
      </c>
      <c r="R109" s="4"/>
      <c r="S109" s="4"/>
      <c r="T109" s="4" t="str">
        <f>HYPERLINK("http://slimages.macys.com/is/image/MCY/20440815 ")</f>
        <v xml:space="preserve">http://slimages.macys.com/is/image/MCY/20440815 </v>
      </c>
    </row>
    <row r="110" spans="1:20" ht="15" customHeight="1" x14ac:dyDescent="0.25">
      <c r="A110" s="4" t="s">
        <v>2489</v>
      </c>
      <c r="B110" s="2" t="s">
        <v>2487</v>
      </c>
      <c r="C110" s="2" t="s">
        <v>2488</v>
      </c>
      <c r="D110" s="5" t="s">
        <v>2490</v>
      </c>
      <c r="E110" s="4" t="s">
        <v>2491</v>
      </c>
      <c r="F110" s="6">
        <v>14210606</v>
      </c>
      <c r="G110" s="3">
        <v>14210606</v>
      </c>
      <c r="H110" s="7">
        <v>733004751905</v>
      </c>
      <c r="I110" s="8" t="s">
        <v>2082</v>
      </c>
      <c r="J110" s="4">
        <v>1</v>
      </c>
      <c r="K110" s="9">
        <v>13.99</v>
      </c>
      <c r="L110" s="9">
        <v>13.99</v>
      </c>
      <c r="M110" s="4" t="s">
        <v>1796</v>
      </c>
      <c r="N110" s="4" t="s">
        <v>2523</v>
      </c>
      <c r="O110" s="4" t="s">
        <v>2519</v>
      </c>
      <c r="P110" s="4" t="s">
        <v>2543</v>
      </c>
      <c r="Q110" s="4" t="s">
        <v>2528</v>
      </c>
      <c r="R110" s="4"/>
      <c r="S110" s="4"/>
      <c r="T110" s="4" t="str">
        <f>HYPERLINK("http://slimages.macys.com/is/image/MCY/20440815 ")</f>
        <v xml:space="preserve">http://slimages.macys.com/is/image/MCY/20440815 </v>
      </c>
    </row>
    <row r="111" spans="1:20" ht="15" customHeight="1" x14ac:dyDescent="0.25">
      <c r="A111" s="4" t="s">
        <v>2489</v>
      </c>
      <c r="B111" s="2" t="s">
        <v>2487</v>
      </c>
      <c r="C111" s="2" t="s">
        <v>2488</v>
      </c>
      <c r="D111" s="5" t="s">
        <v>2490</v>
      </c>
      <c r="E111" s="4" t="s">
        <v>2491</v>
      </c>
      <c r="F111" s="6">
        <v>14210606</v>
      </c>
      <c r="G111" s="3">
        <v>14210606</v>
      </c>
      <c r="H111" s="7">
        <v>733004752148</v>
      </c>
      <c r="I111" s="8" t="s">
        <v>1577</v>
      </c>
      <c r="J111" s="4">
        <v>2</v>
      </c>
      <c r="K111" s="9">
        <v>15.99</v>
      </c>
      <c r="L111" s="9">
        <v>31.98</v>
      </c>
      <c r="M111" s="4" t="s">
        <v>3238</v>
      </c>
      <c r="N111" s="4" t="s">
        <v>2514</v>
      </c>
      <c r="O111" s="4" t="s">
        <v>2555</v>
      </c>
      <c r="P111" s="4" t="s">
        <v>2543</v>
      </c>
      <c r="Q111" s="4" t="s">
        <v>2528</v>
      </c>
      <c r="R111" s="4"/>
      <c r="S111" s="4"/>
      <c r="T111" s="4" t="str">
        <f>HYPERLINK("http://slimages.macys.com/is/image/MCY/20440819 ")</f>
        <v xml:space="preserve">http://slimages.macys.com/is/image/MCY/20440819 </v>
      </c>
    </row>
    <row r="112" spans="1:20" ht="15" customHeight="1" x14ac:dyDescent="0.25">
      <c r="A112" s="4" t="s">
        <v>2489</v>
      </c>
      <c r="B112" s="2" t="s">
        <v>2487</v>
      </c>
      <c r="C112" s="2" t="s">
        <v>2488</v>
      </c>
      <c r="D112" s="5" t="s">
        <v>2490</v>
      </c>
      <c r="E112" s="4" t="s">
        <v>2491</v>
      </c>
      <c r="F112" s="6">
        <v>14210606</v>
      </c>
      <c r="G112" s="3">
        <v>14210606</v>
      </c>
      <c r="H112" s="7">
        <v>195883273082</v>
      </c>
      <c r="I112" s="8" t="s">
        <v>177</v>
      </c>
      <c r="J112" s="4">
        <v>3</v>
      </c>
      <c r="K112" s="9">
        <v>25.99</v>
      </c>
      <c r="L112" s="9">
        <v>77.97</v>
      </c>
      <c r="M112" s="4" t="s">
        <v>98</v>
      </c>
      <c r="N112" s="4" t="s">
        <v>2642</v>
      </c>
      <c r="O112" s="4">
        <v>4</v>
      </c>
      <c r="P112" s="4" t="s">
        <v>2536</v>
      </c>
      <c r="Q112" s="4" t="s">
        <v>2944</v>
      </c>
      <c r="R112" s="4"/>
      <c r="S112" s="4"/>
      <c r="T112" s="4" t="str">
        <f>HYPERLINK("http://slimages.macys.com/is/image/MCY/19856701 ")</f>
        <v xml:space="preserve">http://slimages.macys.com/is/image/MCY/19856701 </v>
      </c>
    </row>
    <row r="113" spans="1:20" ht="15" customHeight="1" x14ac:dyDescent="0.25">
      <c r="A113" s="4" t="s">
        <v>2489</v>
      </c>
      <c r="B113" s="2" t="s">
        <v>2487</v>
      </c>
      <c r="C113" s="2" t="s">
        <v>2488</v>
      </c>
      <c r="D113" s="5" t="s">
        <v>2490</v>
      </c>
      <c r="E113" s="4" t="s">
        <v>2491</v>
      </c>
      <c r="F113" s="6">
        <v>14210606</v>
      </c>
      <c r="G113" s="3">
        <v>14210606</v>
      </c>
      <c r="H113" s="7">
        <v>195251957576</v>
      </c>
      <c r="I113" s="8" t="s">
        <v>178</v>
      </c>
      <c r="J113" s="4">
        <v>1</v>
      </c>
      <c r="K113" s="9">
        <v>20</v>
      </c>
      <c r="L113" s="9">
        <v>20</v>
      </c>
      <c r="M113" s="4">
        <v>1369434</v>
      </c>
      <c r="N113" s="4" t="s">
        <v>2497</v>
      </c>
      <c r="O113" s="4" t="s">
        <v>2671</v>
      </c>
      <c r="P113" s="4" t="s">
        <v>2619</v>
      </c>
      <c r="Q113" s="4" t="s">
        <v>2958</v>
      </c>
      <c r="R113" s="4"/>
      <c r="S113" s="4"/>
      <c r="T113" s="4" t="str">
        <f>HYPERLINK("http://slimages.macys.com/is/image/MCY/20037617 ")</f>
        <v xml:space="preserve">http://slimages.macys.com/is/image/MCY/20037617 </v>
      </c>
    </row>
    <row r="114" spans="1:20" ht="15" customHeight="1" x14ac:dyDescent="0.25">
      <c r="A114" s="4" t="s">
        <v>2489</v>
      </c>
      <c r="B114" s="2" t="s">
        <v>2487</v>
      </c>
      <c r="C114" s="2" t="s">
        <v>2488</v>
      </c>
      <c r="D114" s="5" t="s">
        <v>2490</v>
      </c>
      <c r="E114" s="4" t="s">
        <v>2491</v>
      </c>
      <c r="F114" s="6">
        <v>14210606</v>
      </c>
      <c r="G114" s="3">
        <v>14210606</v>
      </c>
      <c r="H114" s="7">
        <v>194257535177</v>
      </c>
      <c r="I114" s="8" t="s">
        <v>179</v>
      </c>
      <c r="J114" s="4">
        <v>1</v>
      </c>
      <c r="K114" s="9">
        <v>8.99</v>
      </c>
      <c r="L114" s="9">
        <v>8.99</v>
      </c>
      <c r="M114" s="4" t="s">
        <v>180</v>
      </c>
      <c r="N114" s="4" t="s">
        <v>2505</v>
      </c>
      <c r="O114" s="4">
        <v>5</v>
      </c>
      <c r="P114" s="4" t="s">
        <v>2499</v>
      </c>
      <c r="Q114" s="4" t="s">
        <v>2525</v>
      </c>
      <c r="R114" s="4"/>
      <c r="S114" s="4"/>
      <c r="T114" s="4" t="str">
        <f>HYPERLINK("http://slimages.macys.com/is/image/MCY/19764553 ")</f>
        <v xml:space="preserve">http://slimages.macys.com/is/image/MCY/19764553 </v>
      </c>
    </row>
    <row r="115" spans="1:20" ht="15" customHeight="1" x14ac:dyDescent="0.25">
      <c r="A115" s="4" t="s">
        <v>2489</v>
      </c>
      <c r="B115" s="2" t="s">
        <v>2487</v>
      </c>
      <c r="C115" s="2" t="s">
        <v>2488</v>
      </c>
      <c r="D115" s="5" t="s">
        <v>2490</v>
      </c>
      <c r="E115" s="4" t="s">
        <v>2491</v>
      </c>
      <c r="F115" s="6">
        <v>14210606</v>
      </c>
      <c r="G115" s="3">
        <v>14210606</v>
      </c>
      <c r="H115" s="7">
        <v>733004290312</v>
      </c>
      <c r="I115" s="8" t="s">
        <v>1565</v>
      </c>
      <c r="J115" s="4">
        <v>1</v>
      </c>
      <c r="K115" s="9">
        <v>6.99</v>
      </c>
      <c r="L115" s="9">
        <v>6.99</v>
      </c>
      <c r="M115" s="4" t="s">
        <v>2988</v>
      </c>
      <c r="N115" s="4" t="s">
        <v>2600</v>
      </c>
      <c r="O115" s="4" t="s">
        <v>2601</v>
      </c>
      <c r="P115" s="4" t="s">
        <v>2503</v>
      </c>
      <c r="Q115" s="4" t="s">
        <v>2504</v>
      </c>
      <c r="R115" s="4"/>
      <c r="S115" s="4"/>
      <c r="T115" s="4" t="str">
        <f>HYPERLINK("http://slimages.macys.com/is/image/MCY/19746501 ")</f>
        <v xml:space="preserve">http://slimages.macys.com/is/image/MCY/19746501 </v>
      </c>
    </row>
    <row r="116" spans="1:20" ht="15" customHeight="1" x14ac:dyDescent="0.25">
      <c r="A116" s="4" t="s">
        <v>2489</v>
      </c>
      <c r="B116" s="2" t="s">
        <v>2487</v>
      </c>
      <c r="C116" s="2" t="s">
        <v>2488</v>
      </c>
      <c r="D116" s="5" t="s">
        <v>2490</v>
      </c>
      <c r="E116" s="4" t="s">
        <v>2491</v>
      </c>
      <c r="F116" s="6">
        <v>14210606</v>
      </c>
      <c r="G116" s="3">
        <v>14210606</v>
      </c>
      <c r="H116" s="7">
        <v>733003924942</v>
      </c>
      <c r="I116" s="8" t="s">
        <v>93</v>
      </c>
      <c r="J116" s="4">
        <v>1</v>
      </c>
      <c r="K116" s="9">
        <v>6.99</v>
      </c>
      <c r="L116" s="9">
        <v>6.99</v>
      </c>
      <c r="M116" s="4" t="s">
        <v>83</v>
      </c>
      <c r="N116" s="4" t="s">
        <v>2561</v>
      </c>
      <c r="O116" s="4" t="s">
        <v>2493</v>
      </c>
      <c r="P116" s="4" t="s">
        <v>2503</v>
      </c>
      <c r="Q116" s="4" t="s">
        <v>2504</v>
      </c>
      <c r="R116" s="4"/>
      <c r="S116" s="4"/>
      <c r="T116" s="4" t="str">
        <f>HYPERLINK("http://slimages.macys.com/is/image/MCY/19521565 ")</f>
        <v xml:space="preserve">http://slimages.macys.com/is/image/MCY/19521565 </v>
      </c>
    </row>
    <row r="117" spans="1:20" ht="15" customHeight="1" x14ac:dyDescent="0.25">
      <c r="A117" s="4" t="s">
        <v>2489</v>
      </c>
      <c r="B117" s="2" t="s">
        <v>2487</v>
      </c>
      <c r="C117" s="2" t="s">
        <v>2488</v>
      </c>
      <c r="D117" s="5" t="s">
        <v>2490</v>
      </c>
      <c r="E117" s="4" t="s">
        <v>2491</v>
      </c>
      <c r="F117" s="6">
        <v>14210606</v>
      </c>
      <c r="G117" s="3">
        <v>14210606</v>
      </c>
      <c r="H117" s="7">
        <v>733004290831</v>
      </c>
      <c r="I117" s="8" t="s">
        <v>2095</v>
      </c>
      <c r="J117" s="4">
        <v>1</v>
      </c>
      <c r="K117" s="9">
        <v>7.99</v>
      </c>
      <c r="L117" s="9">
        <v>7.99</v>
      </c>
      <c r="M117" s="4" t="s">
        <v>2053</v>
      </c>
      <c r="N117" s="4" t="s">
        <v>2600</v>
      </c>
      <c r="O117" s="4" t="s">
        <v>2628</v>
      </c>
      <c r="P117" s="4" t="s">
        <v>2503</v>
      </c>
      <c r="Q117" s="4" t="s">
        <v>2504</v>
      </c>
      <c r="R117" s="4"/>
      <c r="S117" s="4"/>
      <c r="T117" s="4" t="str">
        <f>HYPERLINK("http://slimages.macys.com/is/image/MCY/19746506 ")</f>
        <v xml:space="preserve">http://slimages.macys.com/is/image/MCY/19746506 </v>
      </c>
    </row>
    <row r="118" spans="1:20" ht="15" customHeight="1" x14ac:dyDescent="0.25">
      <c r="A118" s="4" t="s">
        <v>2489</v>
      </c>
      <c r="B118" s="2" t="s">
        <v>2487</v>
      </c>
      <c r="C118" s="2" t="s">
        <v>2488</v>
      </c>
      <c r="D118" s="5" t="s">
        <v>2490</v>
      </c>
      <c r="E118" s="4" t="s">
        <v>2491</v>
      </c>
      <c r="F118" s="6">
        <v>14210606</v>
      </c>
      <c r="G118" s="3">
        <v>14210606</v>
      </c>
      <c r="H118" s="7">
        <v>195238042240</v>
      </c>
      <c r="I118" s="8" t="s">
        <v>181</v>
      </c>
      <c r="J118" s="4">
        <v>1</v>
      </c>
      <c r="K118" s="9">
        <v>58.99</v>
      </c>
      <c r="L118" s="9">
        <v>58.99</v>
      </c>
      <c r="M118" s="4" t="s">
        <v>3016</v>
      </c>
      <c r="N118" s="4" t="s">
        <v>2535</v>
      </c>
      <c r="O118" s="4" t="s">
        <v>2671</v>
      </c>
      <c r="P118" s="4" t="s">
        <v>2619</v>
      </c>
      <c r="Q118" s="4" t="s">
        <v>2568</v>
      </c>
      <c r="R118" s="4"/>
      <c r="S118" s="4"/>
      <c r="T118" s="4" t="str">
        <f>HYPERLINK("http://slimages.macys.com/is/image/MCY/20219107 ")</f>
        <v xml:space="preserve">http://slimages.macys.com/is/image/MCY/20219107 </v>
      </c>
    </row>
    <row r="119" spans="1:20" ht="15" customHeight="1" x14ac:dyDescent="0.25">
      <c r="A119" s="4" t="s">
        <v>2489</v>
      </c>
      <c r="B119" s="2" t="s">
        <v>2487</v>
      </c>
      <c r="C119" s="2" t="s">
        <v>2488</v>
      </c>
      <c r="D119" s="5" t="s">
        <v>2490</v>
      </c>
      <c r="E119" s="4" t="s">
        <v>2491</v>
      </c>
      <c r="F119" s="6">
        <v>14210606</v>
      </c>
      <c r="G119" s="3">
        <v>14210606</v>
      </c>
      <c r="H119" s="7">
        <v>195240912869</v>
      </c>
      <c r="I119" s="8" t="s">
        <v>182</v>
      </c>
      <c r="J119" s="4">
        <v>1</v>
      </c>
      <c r="K119" s="9">
        <v>18.989999999999998</v>
      </c>
      <c r="L119" s="9">
        <v>18.989999999999998</v>
      </c>
      <c r="M119" s="4" t="s">
        <v>156</v>
      </c>
      <c r="N119" s="4" t="s">
        <v>2567</v>
      </c>
      <c r="O119" s="4" t="s">
        <v>2519</v>
      </c>
      <c r="P119" s="4" t="s">
        <v>2619</v>
      </c>
      <c r="Q119" s="4" t="s">
        <v>2568</v>
      </c>
      <c r="R119" s="4"/>
      <c r="S119" s="4"/>
      <c r="T119" s="4" t="str">
        <f>HYPERLINK("http://slimages.macys.com/is/image/MCY/19219373 ")</f>
        <v xml:space="preserve">http://slimages.macys.com/is/image/MCY/19219373 </v>
      </c>
    </row>
    <row r="120" spans="1:20" ht="15" customHeight="1" x14ac:dyDescent="0.25">
      <c r="A120" s="4" t="s">
        <v>2489</v>
      </c>
      <c r="B120" s="2" t="s">
        <v>2487</v>
      </c>
      <c r="C120" s="2" t="s">
        <v>2488</v>
      </c>
      <c r="D120" s="5" t="s">
        <v>2490</v>
      </c>
      <c r="E120" s="4" t="s">
        <v>2491</v>
      </c>
      <c r="F120" s="6">
        <v>14210606</v>
      </c>
      <c r="G120" s="3">
        <v>14210606</v>
      </c>
      <c r="H120" s="7">
        <v>194501907378</v>
      </c>
      <c r="I120" s="8" t="s">
        <v>183</v>
      </c>
      <c r="J120" s="4">
        <v>1</v>
      </c>
      <c r="K120" s="9">
        <v>23.99</v>
      </c>
      <c r="L120" s="9">
        <v>23.99</v>
      </c>
      <c r="M120" s="4" t="s">
        <v>3197</v>
      </c>
      <c r="N120" s="4" t="s">
        <v>2535</v>
      </c>
      <c r="O120" s="4" t="s">
        <v>2671</v>
      </c>
      <c r="P120" s="4" t="s">
        <v>2619</v>
      </c>
      <c r="Q120" s="4" t="s">
        <v>2568</v>
      </c>
      <c r="R120" s="4"/>
      <c r="S120" s="4"/>
      <c r="T120" s="4" t="str">
        <f>HYPERLINK("http://slimages.macys.com/is/image/MCY/19219368 ")</f>
        <v xml:space="preserve">http://slimages.macys.com/is/image/MCY/19219368 </v>
      </c>
    </row>
    <row r="121" spans="1:20" ht="15" customHeight="1" x14ac:dyDescent="0.25">
      <c r="A121" s="4" t="s">
        <v>2489</v>
      </c>
      <c r="B121" s="2" t="s">
        <v>2487</v>
      </c>
      <c r="C121" s="2" t="s">
        <v>2488</v>
      </c>
      <c r="D121" s="5" t="s">
        <v>2490</v>
      </c>
      <c r="E121" s="4" t="s">
        <v>2491</v>
      </c>
      <c r="F121" s="6">
        <v>14210606</v>
      </c>
      <c r="G121" s="3">
        <v>14210606</v>
      </c>
      <c r="H121" s="7">
        <v>196027064795</v>
      </c>
      <c r="I121" s="8" t="s">
        <v>184</v>
      </c>
      <c r="J121" s="4">
        <v>1</v>
      </c>
      <c r="K121" s="9">
        <v>22.99</v>
      </c>
      <c r="L121" s="9">
        <v>22.99</v>
      </c>
      <c r="M121" s="4" t="s">
        <v>185</v>
      </c>
      <c r="N121" s="4" t="s">
        <v>2544</v>
      </c>
      <c r="O121" s="4">
        <v>8</v>
      </c>
      <c r="P121" s="4" t="s">
        <v>2569</v>
      </c>
      <c r="Q121" s="4" t="s">
        <v>2570</v>
      </c>
      <c r="R121" s="4"/>
      <c r="S121" s="4"/>
      <c r="T121" s="4"/>
    </row>
    <row r="122" spans="1:20" ht="15" customHeight="1" x14ac:dyDescent="0.25">
      <c r="A122" s="4" t="s">
        <v>2489</v>
      </c>
      <c r="B122" s="2" t="s">
        <v>2487</v>
      </c>
      <c r="C122" s="2" t="s">
        <v>2488</v>
      </c>
      <c r="D122" s="5" t="s">
        <v>2490</v>
      </c>
      <c r="E122" s="4" t="s">
        <v>2491</v>
      </c>
      <c r="F122" s="6">
        <v>14210606</v>
      </c>
      <c r="G122" s="3">
        <v>14210606</v>
      </c>
      <c r="H122" s="7">
        <v>195883817613</v>
      </c>
      <c r="I122" s="8" t="s">
        <v>450</v>
      </c>
      <c r="J122" s="4">
        <v>1</v>
      </c>
      <c r="K122" s="9">
        <v>18.989999999999998</v>
      </c>
      <c r="L122" s="9">
        <v>18.989999999999998</v>
      </c>
      <c r="M122" s="4" t="s">
        <v>451</v>
      </c>
      <c r="N122" s="4" t="s">
        <v>2501</v>
      </c>
      <c r="O122" s="4">
        <v>5</v>
      </c>
      <c r="P122" s="4" t="s">
        <v>2536</v>
      </c>
      <c r="Q122" s="4" t="s">
        <v>2944</v>
      </c>
      <c r="R122" s="4"/>
      <c r="S122" s="4"/>
      <c r="T122" s="4"/>
    </row>
    <row r="123" spans="1:20" ht="15" customHeight="1" x14ac:dyDescent="0.25">
      <c r="A123" s="4" t="s">
        <v>2489</v>
      </c>
      <c r="B123" s="2" t="s">
        <v>2487</v>
      </c>
      <c r="C123" s="2" t="s">
        <v>2488</v>
      </c>
      <c r="D123" s="5" t="s">
        <v>2490</v>
      </c>
      <c r="E123" s="4" t="s">
        <v>2491</v>
      </c>
      <c r="F123" s="6">
        <v>14210606</v>
      </c>
      <c r="G123" s="3">
        <v>14210606</v>
      </c>
      <c r="H123" s="7">
        <v>195883342863</v>
      </c>
      <c r="I123" s="8" t="s">
        <v>186</v>
      </c>
      <c r="J123" s="4">
        <v>1</v>
      </c>
      <c r="K123" s="9">
        <v>35.99</v>
      </c>
      <c r="L123" s="9">
        <v>35.99</v>
      </c>
      <c r="M123" s="4" t="s">
        <v>187</v>
      </c>
      <c r="N123" s="4" t="s">
        <v>2632</v>
      </c>
      <c r="O123" s="4">
        <v>6</v>
      </c>
      <c r="P123" s="4" t="s">
        <v>2506</v>
      </c>
      <c r="Q123" s="4" t="s">
        <v>2527</v>
      </c>
      <c r="R123" s="4"/>
      <c r="S123" s="4"/>
      <c r="T123" s="4" t="str">
        <f>HYPERLINK("http://slimages.macys.com/is/image/MCY/20192015 ")</f>
        <v xml:space="preserve">http://slimages.macys.com/is/image/MCY/20192015 </v>
      </c>
    </row>
    <row r="124" spans="1:20" ht="15" customHeight="1" x14ac:dyDescent="0.25">
      <c r="A124" s="4" t="s">
        <v>2489</v>
      </c>
      <c r="B124" s="2" t="s">
        <v>2487</v>
      </c>
      <c r="C124" s="2" t="s">
        <v>2488</v>
      </c>
      <c r="D124" s="5" t="s">
        <v>2490</v>
      </c>
      <c r="E124" s="4" t="s">
        <v>2491</v>
      </c>
      <c r="F124" s="6">
        <v>14210606</v>
      </c>
      <c r="G124" s="3">
        <v>14210606</v>
      </c>
      <c r="H124" s="7">
        <v>195883504902</v>
      </c>
      <c r="I124" s="8" t="s">
        <v>188</v>
      </c>
      <c r="J124" s="4">
        <v>1</v>
      </c>
      <c r="K124" s="9">
        <v>14.99</v>
      </c>
      <c r="L124" s="9">
        <v>14.99</v>
      </c>
      <c r="M124" s="4" t="s">
        <v>3361</v>
      </c>
      <c r="N124" s="4" t="s">
        <v>2501</v>
      </c>
      <c r="O124" s="4" t="s">
        <v>2524</v>
      </c>
      <c r="P124" s="4" t="s">
        <v>2536</v>
      </c>
      <c r="Q124" s="4" t="s">
        <v>2944</v>
      </c>
      <c r="R124" s="4"/>
      <c r="S124" s="4"/>
      <c r="T124" s="4" t="str">
        <f>HYPERLINK("http://slimages.macys.com/is/image/MCY/20191117 ")</f>
        <v xml:space="preserve">http://slimages.macys.com/is/image/MCY/20191117 </v>
      </c>
    </row>
    <row r="125" spans="1:20" ht="15" customHeight="1" x14ac:dyDescent="0.25">
      <c r="A125" s="4" t="s">
        <v>2489</v>
      </c>
      <c r="B125" s="2" t="s">
        <v>2487</v>
      </c>
      <c r="C125" s="2" t="s">
        <v>2488</v>
      </c>
      <c r="D125" s="5" t="s">
        <v>2490</v>
      </c>
      <c r="E125" s="4" t="s">
        <v>2491</v>
      </c>
      <c r="F125" s="6">
        <v>14210606</v>
      </c>
      <c r="G125" s="3">
        <v>14210606</v>
      </c>
      <c r="H125" s="7">
        <v>195883817606</v>
      </c>
      <c r="I125" s="8" t="s">
        <v>450</v>
      </c>
      <c r="J125" s="4">
        <v>2</v>
      </c>
      <c r="K125" s="9">
        <v>18.989999999999998</v>
      </c>
      <c r="L125" s="9">
        <v>37.979999999999997</v>
      </c>
      <c r="M125" s="4" t="s">
        <v>451</v>
      </c>
      <c r="N125" s="4" t="s">
        <v>2501</v>
      </c>
      <c r="O125" s="4">
        <v>4</v>
      </c>
      <c r="P125" s="4" t="s">
        <v>2536</v>
      </c>
      <c r="Q125" s="4" t="s">
        <v>2944</v>
      </c>
      <c r="R125" s="4"/>
      <c r="S125" s="4"/>
      <c r="T125" s="4"/>
    </row>
    <row r="126" spans="1:20" ht="15" customHeight="1" x14ac:dyDescent="0.25">
      <c r="A126" s="4" t="s">
        <v>2489</v>
      </c>
      <c r="B126" s="2" t="s">
        <v>2487</v>
      </c>
      <c r="C126" s="2" t="s">
        <v>2488</v>
      </c>
      <c r="D126" s="5" t="s">
        <v>2490</v>
      </c>
      <c r="E126" s="4" t="s">
        <v>2491</v>
      </c>
      <c r="F126" s="6">
        <v>14210606</v>
      </c>
      <c r="G126" s="3">
        <v>14210606</v>
      </c>
      <c r="H126" s="7">
        <v>194135409750</v>
      </c>
      <c r="I126" s="8" t="s">
        <v>189</v>
      </c>
      <c r="J126" s="4">
        <v>1</v>
      </c>
      <c r="K126" s="9">
        <v>25.07</v>
      </c>
      <c r="L126" s="9">
        <v>25.07</v>
      </c>
      <c r="M126" s="4" t="s">
        <v>190</v>
      </c>
      <c r="N126" s="4"/>
      <c r="O126" s="4" t="s">
        <v>2493</v>
      </c>
      <c r="P126" s="4" t="s">
        <v>2494</v>
      </c>
      <c r="Q126" s="4" t="s">
        <v>2560</v>
      </c>
      <c r="R126" s="4"/>
      <c r="S126" s="4"/>
      <c r="T126" s="4" t="str">
        <f>HYPERLINK("http://slimages.macys.com/is/image/MCY/19848158 ")</f>
        <v xml:space="preserve">http://slimages.macys.com/is/image/MCY/19848158 </v>
      </c>
    </row>
    <row r="127" spans="1:20" ht="15" customHeight="1" x14ac:dyDescent="0.25">
      <c r="A127" s="4" t="s">
        <v>2489</v>
      </c>
      <c r="B127" s="2" t="s">
        <v>2487</v>
      </c>
      <c r="C127" s="2" t="s">
        <v>2488</v>
      </c>
      <c r="D127" s="5" t="s">
        <v>2490</v>
      </c>
      <c r="E127" s="4" t="s">
        <v>2491</v>
      </c>
      <c r="F127" s="6">
        <v>14210606</v>
      </c>
      <c r="G127" s="3">
        <v>14210606</v>
      </c>
      <c r="H127" s="7">
        <v>733004952401</v>
      </c>
      <c r="I127" s="8" t="s">
        <v>3366</v>
      </c>
      <c r="J127" s="4">
        <v>1</v>
      </c>
      <c r="K127" s="9">
        <v>13.99</v>
      </c>
      <c r="L127" s="9">
        <v>13.99</v>
      </c>
      <c r="M127" s="4" t="s">
        <v>3207</v>
      </c>
      <c r="N127" s="4" t="s">
        <v>2561</v>
      </c>
      <c r="O127" s="4" t="s">
        <v>2559</v>
      </c>
      <c r="P127" s="4" t="s">
        <v>2503</v>
      </c>
      <c r="Q127" s="4" t="s">
        <v>2504</v>
      </c>
      <c r="R127" s="4"/>
      <c r="S127" s="4"/>
      <c r="T127" s="4" t="str">
        <f>HYPERLINK("http://slimages.macys.com/is/image/MCY/20142576 ")</f>
        <v xml:space="preserve">http://slimages.macys.com/is/image/MCY/20142576 </v>
      </c>
    </row>
    <row r="128" spans="1:20" ht="15" customHeight="1" x14ac:dyDescent="0.25">
      <c r="A128" s="4" t="s">
        <v>2489</v>
      </c>
      <c r="B128" s="2" t="s">
        <v>2487</v>
      </c>
      <c r="C128" s="2" t="s">
        <v>2488</v>
      </c>
      <c r="D128" s="5" t="s">
        <v>2490</v>
      </c>
      <c r="E128" s="4" t="s">
        <v>2491</v>
      </c>
      <c r="F128" s="6">
        <v>14210606</v>
      </c>
      <c r="G128" s="3">
        <v>14210606</v>
      </c>
      <c r="H128" s="7">
        <v>762120087261</v>
      </c>
      <c r="I128" s="8" t="s">
        <v>3151</v>
      </c>
      <c r="J128" s="4">
        <v>4</v>
      </c>
      <c r="K128" s="9">
        <v>11.99</v>
      </c>
      <c r="L128" s="9">
        <v>47.96</v>
      </c>
      <c r="M128" s="4" t="s">
        <v>3045</v>
      </c>
      <c r="N128" s="4" t="s">
        <v>2567</v>
      </c>
      <c r="O128" s="4" t="s">
        <v>2628</v>
      </c>
      <c r="P128" s="4" t="s">
        <v>2602</v>
      </c>
      <c r="Q128" s="4" t="s">
        <v>2528</v>
      </c>
      <c r="R128" s="4"/>
      <c r="S128" s="4"/>
      <c r="T128" s="4" t="str">
        <f>HYPERLINK("http://slimages.macys.com/is/image/MCY/20691889 ")</f>
        <v xml:space="preserve">http://slimages.macys.com/is/image/MCY/20691889 </v>
      </c>
    </row>
    <row r="129" spans="1:20" ht="15" customHeight="1" x14ac:dyDescent="0.25">
      <c r="A129" s="4" t="s">
        <v>2489</v>
      </c>
      <c r="B129" s="2" t="s">
        <v>2487</v>
      </c>
      <c r="C129" s="2" t="s">
        <v>2488</v>
      </c>
      <c r="D129" s="5" t="s">
        <v>2490</v>
      </c>
      <c r="E129" s="4" t="s">
        <v>2491</v>
      </c>
      <c r="F129" s="6">
        <v>14210606</v>
      </c>
      <c r="G129" s="3">
        <v>14210606</v>
      </c>
      <c r="H129" s="7">
        <v>762120077866</v>
      </c>
      <c r="I129" s="8" t="s">
        <v>24</v>
      </c>
      <c r="J129" s="4">
        <v>1</v>
      </c>
      <c r="K129" s="9">
        <v>16.989999999999998</v>
      </c>
      <c r="L129" s="9">
        <v>16.989999999999998</v>
      </c>
      <c r="M129" s="4" t="s">
        <v>1780</v>
      </c>
      <c r="N129" s="4" t="s">
        <v>2523</v>
      </c>
      <c r="O129" s="4">
        <v>6</v>
      </c>
      <c r="P129" s="4" t="s">
        <v>2520</v>
      </c>
      <c r="Q129" s="4" t="s">
        <v>2528</v>
      </c>
      <c r="R129" s="4"/>
      <c r="S129" s="4"/>
      <c r="T129" s="4" t="str">
        <f>HYPERLINK("http://slimages.macys.com/is/image/MCY/20669891 ")</f>
        <v xml:space="preserve">http://slimages.macys.com/is/image/MCY/20669891 </v>
      </c>
    </row>
    <row r="130" spans="1:20" ht="15" customHeight="1" x14ac:dyDescent="0.25">
      <c r="A130" s="4" t="s">
        <v>2489</v>
      </c>
      <c r="B130" s="2" t="s">
        <v>2487</v>
      </c>
      <c r="C130" s="2" t="s">
        <v>2488</v>
      </c>
      <c r="D130" s="5" t="s">
        <v>2490</v>
      </c>
      <c r="E130" s="4" t="s">
        <v>2491</v>
      </c>
      <c r="F130" s="6">
        <v>14210606</v>
      </c>
      <c r="G130" s="3">
        <v>14210606</v>
      </c>
      <c r="H130" s="7">
        <v>633731114946</v>
      </c>
      <c r="I130" s="8" t="s">
        <v>95</v>
      </c>
      <c r="J130" s="4">
        <v>2</v>
      </c>
      <c r="K130" s="9">
        <v>17.989999999999998</v>
      </c>
      <c r="L130" s="9">
        <v>35.979999999999997</v>
      </c>
      <c r="M130" s="4" t="s">
        <v>1843</v>
      </c>
      <c r="N130" s="4" t="s">
        <v>2664</v>
      </c>
      <c r="O130" s="4" t="s">
        <v>2519</v>
      </c>
      <c r="P130" s="4" t="s">
        <v>2499</v>
      </c>
      <c r="Q130" s="4" t="s">
        <v>2752</v>
      </c>
      <c r="R130" s="4" t="s">
        <v>2552</v>
      </c>
      <c r="S130" s="4" t="s">
        <v>2834</v>
      </c>
      <c r="T130" s="4" t="str">
        <f>HYPERLINK("http://slimages.macys.com/is/image/MCY/14565373 ")</f>
        <v xml:space="preserve">http://slimages.macys.com/is/image/MCY/14565373 </v>
      </c>
    </row>
    <row r="131" spans="1:20" ht="15" customHeight="1" x14ac:dyDescent="0.25">
      <c r="A131" s="4" t="s">
        <v>2489</v>
      </c>
      <c r="B131" s="2" t="s">
        <v>2487</v>
      </c>
      <c r="C131" s="2" t="s">
        <v>2488</v>
      </c>
      <c r="D131" s="5" t="s">
        <v>2490</v>
      </c>
      <c r="E131" s="4" t="s">
        <v>2491</v>
      </c>
      <c r="F131" s="6">
        <v>14210606</v>
      </c>
      <c r="G131" s="3">
        <v>14210606</v>
      </c>
      <c r="H131" s="7">
        <v>195437265129</v>
      </c>
      <c r="I131" s="8" t="s">
        <v>191</v>
      </c>
      <c r="J131" s="4">
        <v>1</v>
      </c>
      <c r="K131" s="9">
        <v>109</v>
      </c>
      <c r="L131" s="9">
        <v>109</v>
      </c>
      <c r="M131" s="4" t="s">
        <v>192</v>
      </c>
      <c r="N131" s="4" t="s">
        <v>2505</v>
      </c>
      <c r="O131" s="4" t="s">
        <v>2587</v>
      </c>
      <c r="P131" s="4" t="s">
        <v>2550</v>
      </c>
      <c r="Q131" s="4" t="s">
        <v>2873</v>
      </c>
      <c r="R131" s="4"/>
      <c r="S131" s="4"/>
      <c r="T131" s="4" t="str">
        <f>HYPERLINK("http://slimages.macys.com/is/image/MCY/20092457 ")</f>
        <v xml:space="preserve">http://slimages.macys.com/is/image/MCY/20092457 </v>
      </c>
    </row>
    <row r="132" spans="1:20" ht="15" customHeight="1" x14ac:dyDescent="0.25">
      <c r="A132" s="4" t="s">
        <v>2489</v>
      </c>
      <c r="B132" s="2" t="s">
        <v>2487</v>
      </c>
      <c r="C132" s="2" t="s">
        <v>2488</v>
      </c>
      <c r="D132" s="5" t="s">
        <v>2490</v>
      </c>
      <c r="E132" s="4" t="s">
        <v>2491</v>
      </c>
      <c r="F132" s="6">
        <v>14210606</v>
      </c>
      <c r="G132" s="3">
        <v>14210606</v>
      </c>
      <c r="H132" s="7">
        <v>733002304844</v>
      </c>
      <c r="I132" s="8" t="s">
        <v>193</v>
      </c>
      <c r="J132" s="4">
        <v>1</v>
      </c>
      <c r="K132" s="9">
        <v>39.5</v>
      </c>
      <c r="L132" s="9">
        <v>39.5</v>
      </c>
      <c r="M132" s="4">
        <v>100121435</v>
      </c>
      <c r="N132" s="4" t="s">
        <v>2567</v>
      </c>
      <c r="O132" s="4" t="s">
        <v>2699</v>
      </c>
      <c r="P132" s="4" t="s">
        <v>2510</v>
      </c>
      <c r="Q132" s="4" t="s">
        <v>2943</v>
      </c>
      <c r="R132" s="4"/>
      <c r="S132" s="4"/>
      <c r="T132" s="4" t="str">
        <f>HYPERLINK("http://slimages.macys.com/is/image/MCY/18852391 ")</f>
        <v xml:space="preserve">http://slimages.macys.com/is/image/MCY/18852391 </v>
      </c>
    </row>
    <row r="133" spans="1:20" ht="15" customHeight="1" x14ac:dyDescent="0.25">
      <c r="A133" s="4" t="s">
        <v>2489</v>
      </c>
      <c r="B133" s="2" t="s">
        <v>2487</v>
      </c>
      <c r="C133" s="2" t="s">
        <v>2488</v>
      </c>
      <c r="D133" s="5" t="s">
        <v>2490</v>
      </c>
      <c r="E133" s="4" t="s">
        <v>2491</v>
      </c>
      <c r="F133" s="6">
        <v>14210606</v>
      </c>
      <c r="G133" s="3">
        <v>14210606</v>
      </c>
      <c r="H133" s="7">
        <v>192297334934</v>
      </c>
      <c r="I133" s="8" t="s">
        <v>194</v>
      </c>
      <c r="J133" s="4">
        <v>1</v>
      </c>
      <c r="K133" s="9">
        <v>44</v>
      </c>
      <c r="L133" s="9">
        <v>44</v>
      </c>
      <c r="M133" s="4" t="s">
        <v>195</v>
      </c>
      <c r="N133" s="4" t="s">
        <v>2501</v>
      </c>
      <c r="O133" s="4" t="s">
        <v>2639</v>
      </c>
      <c r="P133" s="4" t="s">
        <v>2510</v>
      </c>
      <c r="Q133" s="4" t="s">
        <v>196</v>
      </c>
      <c r="R133" s="4"/>
      <c r="S133" s="4"/>
      <c r="T133" s="4"/>
    </row>
    <row r="134" spans="1:20" ht="15" customHeight="1" x14ac:dyDescent="0.25">
      <c r="A134" s="4" t="s">
        <v>2489</v>
      </c>
      <c r="B134" s="2" t="s">
        <v>2487</v>
      </c>
      <c r="C134" s="2" t="s">
        <v>2488</v>
      </c>
      <c r="D134" s="5" t="s">
        <v>2490</v>
      </c>
      <c r="E134" s="4" t="s">
        <v>2491</v>
      </c>
      <c r="F134" s="6">
        <v>14210606</v>
      </c>
      <c r="G134" s="3">
        <v>14210606</v>
      </c>
      <c r="H134" s="7">
        <v>194257518989</v>
      </c>
      <c r="I134" s="8" t="s">
        <v>197</v>
      </c>
      <c r="J134" s="4">
        <v>1</v>
      </c>
      <c r="K134" s="9">
        <v>8.25</v>
      </c>
      <c r="L134" s="9">
        <v>8.25</v>
      </c>
      <c r="M134" s="4" t="s">
        <v>3403</v>
      </c>
      <c r="N134" s="4" t="s">
        <v>2501</v>
      </c>
      <c r="O134" s="4">
        <v>4</v>
      </c>
      <c r="P134" s="4" t="s">
        <v>2619</v>
      </c>
      <c r="Q134" s="4" t="s">
        <v>2654</v>
      </c>
      <c r="R134" s="4"/>
      <c r="S134" s="4"/>
      <c r="T134" s="4" t="str">
        <f>HYPERLINK("http://slimages.macys.com/is/image/MCY/20136623 ")</f>
        <v xml:space="preserve">http://slimages.macys.com/is/image/MCY/20136623 </v>
      </c>
    </row>
    <row r="135" spans="1:20" ht="15" customHeight="1" x14ac:dyDescent="0.25">
      <c r="A135" s="4" t="s">
        <v>2489</v>
      </c>
      <c r="B135" s="2" t="s">
        <v>2487</v>
      </c>
      <c r="C135" s="2" t="s">
        <v>2488</v>
      </c>
      <c r="D135" s="5" t="s">
        <v>2490</v>
      </c>
      <c r="E135" s="4" t="s">
        <v>2491</v>
      </c>
      <c r="F135" s="6">
        <v>14210606</v>
      </c>
      <c r="G135" s="3">
        <v>14210606</v>
      </c>
      <c r="H135" s="7">
        <v>733004523540</v>
      </c>
      <c r="I135" s="8" t="s">
        <v>198</v>
      </c>
      <c r="J135" s="4">
        <v>1</v>
      </c>
      <c r="K135" s="9">
        <v>7.99</v>
      </c>
      <c r="L135" s="9">
        <v>7.99</v>
      </c>
      <c r="M135" s="4" t="s">
        <v>3053</v>
      </c>
      <c r="N135" s="4" t="s">
        <v>2514</v>
      </c>
      <c r="O135" s="4" t="s">
        <v>2653</v>
      </c>
      <c r="P135" s="4" t="s">
        <v>2602</v>
      </c>
      <c r="Q135" s="4" t="s">
        <v>2528</v>
      </c>
      <c r="R135" s="4"/>
      <c r="S135" s="4"/>
      <c r="T135" s="4" t="str">
        <f>HYPERLINK("http://slimages.macys.com/is/image/MCY/20168202 ")</f>
        <v xml:space="preserve">http://slimages.macys.com/is/image/MCY/20168202 </v>
      </c>
    </row>
    <row r="136" spans="1:20" ht="15" customHeight="1" x14ac:dyDescent="0.25">
      <c r="A136" s="4" t="s">
        <v>2489</v>
      </c>
      <c r="B136" s="2" t="s">
        <v>2487</v>
      </c>
      <c r="C136" s="2" t="s">
        <v>2488</v>
      </c>
      <c r="D136" s="5" t="s">
        <v>2490</v>
      </c>
      <c r="E136" s="4" t="s">
        <v>2491</v>
      </c>
      <c r="F136" s="6">
        <v>14210606</v>
      </c>
      <c r="G136" s="3">
        <v>14210606</v>
      </c>
      <c r="H136" s="7">
        <v>733003642686</v>
      </c>
      <c r="I136" s="8" t="s">
        <v>199</v>
      </c>
      <c r="J136" s="4">
        <v>1</v>
      </c>
      <c r="K136" s="9">
        <v>22.99</v>
      </c>
      <c r="L136" s="9">
        <v>22.99</v>
      </c>
      <c r="M136" s="4" t="s">
        <v>2894</v>
      </c>
      <c r="N136" s="4" t="s">
        <v>2561</v>
      </c>
      <c r="O136" s="4" t="s">
        <v>2498</v>
      </c>
      <c r="P136" s="4" t="s">
        <v>2515</v>
      </c>
      <c r="Q136" s="4" t="s">
        <v>2516</v>
      </c>
      <c r="R136" s="4"/>
      <c r="S136" s="4"/>
      <c r="T136" s="4" t="str">
        <f>HYPERLINK("http://slimages.macys.com/is/image/MCY/20007916 ")</f>
        <v xml:space="preserve">http://slimages.macys.com/is/image/MCY/20007916 </v>
      </c>
    </row>
    <row r="137" spans="1:20" ht="15" customHeight="1" x14ac:dyDescent="0.25">
      <c r="A137" s="4" t="s">
        <v>2489</v>
      </c>
      <c r="B137" s="2" t="s">
        <v>2487</v>
      </c>
      <c r="C137" s="2" t="s">
        <v>2488</v>
      </c>
      <c r="D137" s="5" t="s">
        <v>2490</v>
      </c>
      <c r="E137" s="4" t="s">
        <v>2491</v>
      </c>
      <c r="F137" s="6">
        <v>14210606</v>
      </c>
      <c r="G137" s="3">
        <v>14210606</v>
      </c>
      <c r="H137" s="7">
        <v>762120214018</v>
      </c>
      <c r="I137" s="8" t="s">
        <v>3295</v>
      </c>
      <c r="J137" s="4">
        <v>1</v>
      </c>
      <c r="K137" s="9">
        <v>21.99</v>
      </c>
      <c r="L137" s="9">
        <v>21.99</v>
      </c>
      <c r="M137" s="4" t="s">
        <v>3296</v>
      </c>
      <c r="N137" s="4" t="s">
        <v>2665</v>
      </c>
      <c r="O137" s="4" t="s">
        <v>2555</v>
      </c>
      <c r="P137" s="4" t="s">
        <v>2515</v>
      </c>
      <c r="Q137" s="4" t="s">
        <v>2672</v>
      </c>
      <c r="R137" s="4"/>
      <c r="S137" s="4"/>
      <c r="T137" s="4" t="str">
        <f>HYPERLINK("http://slimages.macys.com/is/image/MCY/20411691 ")</f>
        <v xml:space="preserve">http://slimages.macys.com/is/image/MCY/20411691 </v>
      </c>
    </row>
    <row r="138" spans="1:20" ht="15" customHeight="1" x14ac:dyDescent="0.25">
      <c r="A138" s="4" t="s">
        <v>2489</v>
      </c>
      <c r="B138" s="2" t="s">
        <v>2487</v>
      </c>
      <c r="C138" s="2" t="s">
        <v>2488</v>
      </c>
      <c r="D138" s="5" t="s">
        <v>2490</v>
      </c>
      <c r="E138" s="4" t="s">
        <v>2491</v>
      </c>
      <c r="F138" s="6">
        <v>14210606</v>
      </c>
      <c r="G138" s="3">
        <v>14210606</v>
      </c>
      <c r="H138" s="7">
        <v>762120086219</v>
      </c>
      <c r="I138" s="8" t="s">
        <v>200</v>
      </c>
      <c r="J138" s="4">
        <v>1</v>
      </c>
      <c r="K138" s="9">
        <v>7.99</v>
      </c>
      <c r="L138" s="9">
        <v>7.99</v>
      </c>
      <c r="M138" s="4" t="s">
        <v>2806</v>
      </c>
      <c r="N138" s="4" t="s">
        <v>2530</v>
      </c>
      <c r="O138" s="4" t="s">
        <v>2650</v>
      </c>
      <c r="P138" s="4" t="s">
        <v>2602</v>
      </c>
      <c r="Q138" s="4" t="s">
        <v>2528</v>
      </c>
      <c r="R138" s="4"/>
      <c r="S138" s="4"/>
      <c r="T138" s="4" t="str">
        <f>HYPERLINK("http://slimages.macys.com/is/image/MCY/1086506 ")</f>
        <v xml:space="preserve">http://slimages.macys.com/is/image/MCY/1086506 </v>
      </c>
    </row>
    <row r="139" spans="1:20" ht="15" customHeight="1" x14ac:dyDescent="0.25">
      <c r="A139" s="4" t="s">
        <v>2489</v>
      </c>
      <c r="B139" s="2" t="s">
        <v>2487</v>
      </c>
      <c r="C139" s="2" t="s">
        <v>2488</v>
      </c>
      <c r="D139" s="5" t="s">
        <v>2490</v>
      </c>
      <c r="E139" s="4" t="s">
        <v>2491</v>
      </c>
      <c r="F139" s="6">
        <v>14210606</v>
      </c>
      <c r="G139" s="3">
        <v>14210606</v>
      </c>
      <c r="H139" s="7">
        <v>762120086318</v>
      </c>
      <c r="I139" s="8" t="s">
        <v>2029</v>
      </c>
      <c r="J139" s="4">
        <v>1</v>
      </c>
      <c r="K139" s="9">
        <v>7.99</v>
      </c>
      <c r="L139" s="9">
        <v>7.99</v>
      </c>
      <c r="M139" s="4" t="s">
        <v>2030</v>
      </c>
      <c r="N139" s="4" t="s">
        <v>2501</v>
      </c>
      <c r="O139" s="4" t="s">
        <v>2650</v>
      </c>
      <c r="P139" s="4" t="s">
        <v>2602</v>
      </c>
      <c r="Q139" s="4" t="s">
        <v>2528</v>
      </c>
      <c r="R139" s="4"/>
      <c r="S139" s="4"/>
      <c r="T139" s="4" t="str">
        <f>HYPERLINK("http://slimages.macys.com/is/image/MCY/20691841 ")</f>
        <v xml:space="preserve">http://slimages.macys.com/is/image/MCY/20691841 </v>
      </c>
    </row>
    <row r="140" spans="1:20" ht="15" customHeight="1" x14ac:dyDescent="0.25">
      <c r="A140" s="4" t="s">
        <v>2489</v>
      </c>
      <c r="B140" s="2" t="s">
        <v>2487</v>
      </c>
      <c r="C140" s="2" t="s">
        <v>2488</v>
      </c>
      <c r="D140" s="5" t="s">
        <v>2490</v>
      </c>
      <c r="E140" s="4" t="s">
        <v>2491</v>
      </c>
      <c r="F140" s="6">
        <v>14210606</v>
      </c>
      <c r="G140" s="3">
        <v>14210606</v>
      </c>
      <c r="H140" s="7">
        <v>733004780134</v>
      </c>
      <c r="I140" s="8" t="s">
        <v>3159</v>
      </c>
      <c r="J140" s="4">
        <v>1</v>
      </c>
      <c r="K140" s="9">
        <v>7.99</v>
      </c>
      <c r="L140" s="9">
        <v>7.99</v>
      </c>
      <c r="M140" s="4" t="s">
        <v>3126</v>
      </c>
      <c r="N140" s="4" t="s">
        <v>2567</v>
      </c>
      <c r="O140" s="4" t="s">
        <v>2650</v>
      </c>
      <c r="P140" s="4" t="s">
        <v>2602</v>
      </c>
      <c r="Q140" s="4" t="s">
        <v>2528</v>
      </c>
      <c r="R140" s="4"/>
      <c r="S140" s="4"/>
      <c r="T140" s="4" t="str">
        <f>HYPERLINK("http://slimages.macys.com/is/image/MCY/20450165 ")</f>
        <v xml:space="preserve">http://slimages.macys.com/is/image/MCY/20450165 </v>
      </c>
    </row>
    <row r="141" spans="1:20" ht="15" customHeight="1" x14ac:dyDescent="0.25">
      <c r="A141" s="4" t="s">
        <v>2489</v>
      </c>
      <c r="B141" s="2" t="s">
        <v>2487</v>
      </c>
      <c r="C141" s="2" t="s">
        <v>2488</v>
      </c>
      <c r="D141" s="5" t="s">
        <v>2490</v>
      </c>
      <c r="E141" s="4" t="s">
        <v>2491</v>
      </c>
      <c r="F141" s="6">
        <v>14210606</v>
      </c>
      <c r="G141" s="3">
        <v>14210606</v>
      </c>
      <c r="H141" s="7">
        <v>733004780196</v>
      </c>
      <c r="I141" s="8" t="s">
        <v>3148</v>
      </c>
      <c r="J141" s="4">
        <v>1</v>
      </c>
      <c r="K141" s="9">
        <v>7.99</v>
      </c>
      <c r="L141" s="9">
        <v>7.99</v>
      </c>
      <c r="M141" s="4" t="s">
        <v>3149</v>
      </c>
      <c r="N141" s="4" t="s">
        <v>2638</v>
      </c>
      <c r="O141" s="4" t="s">
        <v>2650</v>
      </c>
      <c r="P141" s="4" t="s">
        <v>2602</v>
      </c>
      <c r="Q141" s="4" t="s">
        <v>2528</v>
      </c>
      <c r="R141" s="4"/>
      <c r="S141" s="4"/>
      <c r="T141" s="4" t="str">
        <f>HYPERLINK("http://slimages.macys.com/is/image/MCY/20450168 ")</f>
        <v xml:space="preserve">http://slimages.macys.com/is/image/MCY/20450168 </v>
      </c>
    </row>
    <row r="142" spans="1:20" ht="15" customHeight="1" x14ac:dyDescent="0.25">
      <c r="A142" s="4" t="s">
        <v>2489</v>
      </c>
      <c r="B142" s="2" t="s">
        <v>2487</v>
      </c>
      <c r="C142" s="2" t="s">
        <v>2488</v>
      </c>
      <c r="D142" s="5" t="s">
        <v>2490</v>
      </c>
      <c r="E142" s="4" t="s">
        <v>2491</v>
      </c>
      <c r="F142" s="6">
        <v>14210606</v>
      </c>
      <c r="G142" s="3">
        <v>14210606</v>
      </c>
      <c r="H142" s="7">
        <v>660168728910</v>
      </c>
      <c r="I142" s="8" t="s">
        <v>201</v>
      </c>
      <c r="J142" s="4">
        <v>1</v>
      </c>
      <c r="K142" s="9">
        <v>14.99</v>
      </c>
      <c r="L142" s="9">
        <v>14.99</v>
      </c>
      <c r="M142" s="4">
        <v>72890</v>
      </c>
      <c r="N142" s="4" t="s">
        <v>2497</v>
      </c>
      <c r="O142" s="4" t="s">
        <v>2601</v>
      </c>
      <c r="P142" s="4" t="s">
        <v>2533</v>
      </c>
      <c r="Q142" s="4" t="s">
        <v>2534</v>
      </c>
      <c r="R142" s="4"/>
      <c r="S142" s="4"/>
      <c r="T142" s="4" t="str">
        <f>HYPERLINK("http://slimages.macys.com/is/image/MCY/16790726 ")</f>
        <v xml:space="preserve">http://slimages.macys.com/is/image/MCY/16790726 </v>
      </c>
    </row>
    <row r="143" spans="1:20" ht="15" customHeight="1" x14ac:dyDescent="0.25">
      <c r="A143" s="4" t="s">
        <v>2489</v>
      </c>
      <c r="B143" s="2" t="s">
        <v>2487</v>
      </c>
      <c r="C143" s="2" t="s">
        <v>2488</v>
      </c>
      <c r="D143" s="5" t="s">
        <v>2490</v>
      </c>
      <c r="E143" s="4" t="s">
        <v>2491</v>
      </c>
      <c r="F143" s="6">
        <v>14210606</v>
      </c>
      <c r="G143" s="3">
        <v>14210606</v>
      </c>
      <c r="H143" s="7">
        <v>733003642518</v>
      </c>
      <c r="I143" s="8" t="s">
        <v>202</v>
      </c>
      <c r="J143" s="4">
        <v>1</v>
      </c>
      <c r="K143" s="9">
        <v>22.99</v>
      </c>
      <c r="L143" s="9">
        <v>22.99</v>
      </c>
      <c r="M143" s="4" t="s">
        <v>2894</v>
      </c>
      <c r="N143" s="4" t="s">
        <v>2567</v>
      </c>
      <c r="O143" s="4" t="s">
        <v>2555</v>
      </c>
      <c r="P143" s="4" t="s">
        <v>2515</v>
      </c>
      <c r="Q143" s="4" t="s">
        <v>2516</v>
      </c>
      <c r="R143" s="4"/>
      <c r="S143" s="4"/>
      <c r="T143" s="4" t="str">
        <f>HYPERLINK("http://slimages.macys.com/is/image/MCY/20007916 ")</f>
        <v xml:space="preserve">http://slimages.macys.com/is/image/MCY/20007916 </v>
      </c>
    </row>
    <row r="144" spans="1:20" ht="15" customHeight="1" x14ac:dyDescent="0.25">
      <c r="A144" s="4" t="s">
        <v>2489</v>
      </c>
      <c r="B144" s="2" t="s">
        <v>2487</v>
      </c>
      <c r="C144" s="2" t="s">
        <v>2488</v>
      </c>
      <c r="D144" s="5" t="s">
        <v>2490</v>
      </c>
      <c r="E144" s="4" t="s">
        <v>2491</v>
      </c>
      <c r="F144" s="6">
        <v>14210606</v>
      </c>
      <c r="G144" s="3">
        <v>14210606</v>
      </c>
      <c r="H144" s="7">
        <v>733004780912</v>
      </c>
      <c r="I144" s="8" t="s">
        <v>3213</v>
      </c>
      <c r="J144" s="4">
        <v>1</v>
      </c>
      <c r="K144" s="9">
        <v>11.99</v>
      </c>
      <c r="L144" s="9">
        <v>11.99</v>
      </c>
      <c r="M144" s="4" t="s">
        <v>3083</v>
      </c>
      <c r="N144" s="4" t="s">
        <v>2530</v>
      </c>
      <c r="O144" s="4" t="s">
        <v>2650</v>
      </c>
      <c r="P144" s="4" t="s">
        <v>2602</v>
      </c>
      <c r="Q144" s="4" t="s">
        <v>2528</v>
      </c>
      <c r="R144" s="4"/>
      <c r="S144" s="4"/>
      <c r="T144" s="4" t="str">
        <f>HYPERLINK("http://slimages.macys.com/is/image/MCY/20450174 ")</f>
        <v xml:space="preserve">http://slimages.macys.com/is/image/MCY/20450174 </v>
      </c>
    </row>
    <row r="145" spans="1:20" ht="15" customHeight="1" x14ac:dyDescent="0.25">
      <c r="A145" s="4" t="s">
        <v>2489</v>
      </c>
      <c r="B145" s="2" t="s">
        <v>2487</v>
      </c>
      <c r="C145" s="2" t="s">
        <v>2488</v>
      </c>
      <c r="D145" s="5" t="s">
        <v>2490</v>
      </c>
      <c r="E145" s="4" t="s">
        <v>2491</v>
      </c>
      <c r="F145" s="6">
        <v>14210606</v>
      </c>
      <c r="G145" s="3">
        <v>14210606</v>
      </c>
      <c r="H145" s="7">
        <v>733003642754</v>
      </c>
      <c r="I145" s="8" t="s">
        <v>203</v>
      </c>
      <c r="J145" s="4">
        <v>2</v>
      </c>
      <c r="K145" s="9">
        <v>22.99</v>
      </c>
      <c r="L145" s="9">
        <v>45.98</v>
      </c>
      <c r="M145" s="4" t="s">
        <v>2513</v>
      </c>
      <c r="N145" s="4" t="s">
        <v>2514</v>
      </c>
      <c r="O145" s="4"/>
      <c r="P145" s="4" t="s">
        <v>2515</v>
      </c>
      <c r="Q145" s="4" t="s">
        <v>2516</v>
      </c>
      <c r="R145" s="4"/>
      <c r="S145" s="4"/>
      <c r="T145" s="4" t="str">
        <f>HYPERLINK("http://slimages.macys.com/is/image/MCY/20008078 ")</f>
        <v xml:space="preserve">http://slimages.macys.com/is/image/MCY/20008078 </v>
      </c>
    </row>
    <row r="146" spans="1:20" ht="15" customHeight="1" x14ac:dyDescent="0.25">
      <c r="A146" s="4" t="s">
        <v>2489</v>
      </c>
      <c r="B146" s="2" t="s">
        <v>2487</v>
      </c>
      <c r="C146" s="2" t="s">
        <v>2488</v>
      </c>
      <c r="D146" s="5" t="s">
        <v>2490</v>
      </c>
      <c r="E146" s="4" t="s">
        <v>2491</v>
      </c>
      <c r="F146" s="6">
        <v>14210606</v>
      </c>
      <c r="G146" s="3">
        <v>14210606</v>
      </c>
      <c r="H146" s="7">
        <v>733004738333</v>
      </c>
      <c r="I146" s="8" t="s">
        <v>2017</v>
      </c>
      <c r="J146" s="4">
        <v>2</v>
      </c>
      <c r="K146" s="9">
        <v>6.99</v>
      </c>
      <c r="L146" s="9">
        <v>13.98</v>
      </c>
      <c r="M146" s="4" t="s">
        <v>2783</v>
      </c>
      <c r="N146" s="4" t="s">
        <v>2501</v>
      </c>
      <c r="O146" s="4" t="s">
        <v>2493</v>
      </c>
      <c r="P146" s="4" t="s">
        <v>2503</v>
      </c>
      <c r="Q146" s="4" t="s">
        <v>2504</v>
      </c>
      <c r="R146" s="4"/>
      <c r="S146" s="4"/>
      <c r="T146" s="4" t="str">
        <f>HYPERLINK("http://slimages.macys.com/is/image/MCY/19977723 ")</f>
        <v xml:space="preserve">http://slimages.macys.com/is/image/MCY/19977723 </v>
      </c>
    </row>
    <row r="147" spans="1:20" ht="15" customHeight="1" x14ac:dyDescent="0.25">
      <c r="A147" s="4" t="s">
        <v>2489</v>
      </c>
      <c r="B147" s="2" t="s">
        <v>2487</v>
      </c>
      <c r="C147" s="2" t="s">
        <v>2488</v>
      </c>
      <c r="D147" s="5" t="s">
        <v>2490</v>
      </c>
      <c r="E147" s="4" t="s">
        <v>2491</v>
      </c>
      <c r="F147" s="6">
        <v>14210606</v>
      </c>
      <c r="G147" s="3">
        <v>14210606</v>
      </c>
      <c r="H147" s="7">
        <v>762120023238</v>
      </c>
      <c r="I147" s="8" t="s">
        <v>1904</v>
      </c>
      <c r="J147" s="4">
        <v>1</v>
      </c>
      <c r="K147" s="9">
        <v>6.99</v>
      </c>
      <c r="L147" s="9">
        <v>6.99</v>
      </c>
      <c r="M147" s="4" t="s">
        <v>1905</v>
      </c>
      <c r="N147" s="4" t="s">
        <v>2518</v>
      </c>
      <c r="O147" s="4" t="s">
        <v>2502</v>
      </c>
      <c r="P147" s="4" t="s">
        <v>2503</v>
      </c>
      <c r="Q147" s="4" t="s">
        <v>2504</v>
      </c>
      <c r="R147" s="4"/>
      <c r="S147" s="4"/>
      <c r="T147" s="4" t="str">
        <f>HYPERLINK("http://slimages.macys.com/is/image/MCY/19977832 ")</f>
        <v xml:space="preserve">http://slimages.macys.com/is/image/MCY/19977832 </v>
      </c>
    </row>
    <row r="148" spans="1:20" ht="15" customHeight="1" x14ac:dyDescent="0.25">
      <c r="A148" s="4" t="s">
        <v>2489</v>
      </c>
      <c r="B148" s="2" t="s">
        <v>2487</v>
      </c>
      <c r="C148" s="2" t="s">
        <v>2488</v>
      </c>
      <c r="D148" s="5" t="s">
        <v>2490</v>
      </c>
      <c r="E148" s="4" t="s">
        <v>2491</v>
      </c>
      <c r="F148" s="6">
        <v>14210606</v>
      </c>
      <c r="G148" s="3">
        <v>14210606</v>
      </c>
      <c r="H148" s="7">
        <v>733004745812</v>
      </c>
      <c r="I148" s="8" t="s">
        <v>2851</v>
      </c>
      <c r="J148" s="4">
        <v>1</v>
      </c>
      <c r="K148" s="9">
        <v>6.99</v>
      </c>
      <c r="L148" s="9">
        <v>6.99</v>
      </c>
      <c r="M148" s="4" t="s">
        <v>2852</v>
      </c>
      <c r="N148" s="4" t="s">
        <v>2565</v>
      </c>
      <c r="O148" s="4" t="s">
        <v>2502</v>
      </c>
      <c r="P148" s="4" t="s">
        <v>2503</v>
      </c>
      <c r="Q148" s="4" t="s">
        <v>2504</v>
      </c>
      <c r="R148" s="4"/>
      <c r="S148" s="4"/>
      <c r="T148" s="4" t="str">
        <f>HYPERLINK("http://slimages.macys.com/is/image/MCY/19977364 ")</f>
        <v xml:space="preserve">http://slimages.macys.com/is/image/MCY/19977364 </v>
      </c>
    </row>
    <row r="149" spans="1:20" ht="15" customHeight="1" x14ac:dyDescent="0.25">
      <c r="A149" s="4" t="s">
        <v>2489</v>
      </c>
      <c r="B149" s="2" t="s">
        <v>2487</v>
      </c>
      <c r="C149" s="2" t="s">
        <v>2488</v>
      </c>
      <c r="D149" s="5" t="s">
        <v>2490</v>
      </c>
      <c r="E149" s="4" t="s">
        <v>2491</v>
      </c>
      <c r="F149" s="6">
        <v>14210606</v>
      </c>
      <c r="G149" s="3">
        <v>14210606</v>
      </c>
      <c r="H149" s="7">
        <v>194257616456</v>
      </c>
      <c r="I149" s="8" t="s">
        <v>204</v>
      </c>
      <c r="J149" s="4">
        <v>1</v>
      </c>
      <c r="K149" s="9">
        <v>8.99</v>
      </c>
      <c r="L149" s="9">
        <v>8.99</v>
      </c>
      <c r="M149" s="4" t="s">
        <v>205</v>
      </c>
      <c r="N149" s="4" t="s">
        <v>2501</v>
      </c>
      <c r="O149" s="4" t="s">
        <v>2498</v>
      </c>
      <c r="P149" s="4" t="s">
        <v>2619</v>
      </c>
      <c r="Q149" s="4" t="s">
        <v>2500</v>
      </c>
      <c r="R149" s="4"/>
      <c r="S149" s="4"/>
      <c r="T149" s="4" t="str">
        <f>HYPERLINK("http://slimages.macys.com/is/image/MCY/20391381 ")</f>
        <v xml:space="preserve">http://slimages.macys.com/is/image/MCY/20391381 </v>
      </c>
    </row>
    <row r="150" spans="1:20" ht="15" customHeight="1" x14ac:dyDescent="0.25">
      <c r="A150" s="4" t="s">
        <v>2489</v>
      </c>
      <c r="B150" s="2" t="s">
        <v>2487</v>
      </c>
      <c r="C150" s="2" t="s">
        <v>2488</v>
      </c>
      <c r="D150" s="5" t="s">
        <v>2490</v>
      </c>
      <c r="E150" s="4" t="s">
        <v>2491</v>
      </c>
      <c r="F150" s="6">
        <v>14210606</v>
      </c>
      <c r="G150" s="3">
        <v>14210606</v>
      </c>
      <c r="H150" s="7">
        <v>733004723124</v>
      </c>
      <c r="I150" s="8" t="s">
        <v>3177</v>
      </c>
      <c r="J150" s="4">
        <v>1</v>
      </c>
      <c r="K150" s="9">
        <v>25.99</v>
      </c>
      <c r="L150" s="9">
        <v>25.99</v>
      </c>
      <c r="M150" s="4" t="s">
        <v>3178</v>
      </c>
      <c r="N150" s="4" t="s">
        <v>2518</v>
      </c>
      <c r="O150" s="4"/>
      <c r="P150" s="4" t="s">
        <v>2503</v>
      </c>
      <c r="Q150" s="4" t="s">
        <v>2504</v>
      </c>
      <c r="R150" s="4"/>
      <c r="S150" s="4"/>
      <c r="T150" s="4" t="str">
        <f>HYPERLINK("http://slimages.macys.com/is/image/MCY/1041651 ")</f>
        <v xml:space="preserve">http://slimages.macys.com/is/image/MCY/1041651 </v>
      </c>
    </row>
    <row r="151" spans="1:20" ht="15" customHeight="1" x14ac:dyDescent="0.25">
      <c r="A151" s="4" t="s">
        <v>2489</v>
      </c>
      <c r="B151" s="2" t="s">
        <v>2487</v>
      </c>
      <c r="C151" s="2" t="s">
        <v>2488</v>
      </c>
      <c r="D151" s="5" t="s">
        <v>2490</v>
      </c>
      <c r="E151" s="4" t="s">
        <v>2491</v>
      </c>
      <c r="F151" s="6">
        <v>14210606</v>
      </c>
      <c r="G151" s="3">
        <v>14210606</v>
      </c>
      <c r="H151" s="7">
        <v>733004722882</v>
      </c>
      <c r="I151" s="8" t="s">
        <v>3200</v>
      </c>
      <c r="J151" s="4">
        <v>1</v>
      </c>
      <c r="K151" s="9">
        <v>28.99</v>
      </c>
      <c r="L151" s="9">
        <v>28.99</v>
      </c>
      <c r="M151" s="4" t="s">
        <v>3201</v>
      </c>
      <c r="N151" s="4" t="s">
        <v>2531</v>
      </c>
      <c r="O151" s="4"/>
      <c r="P151" s="4" t="s">
        <v>2503</v>
      </c>
      <c r="Q151" s="4" t="s">
        <v>2504</v>
      </c>
      <c r="R151" s="4"/>
      <c r="S151" s="4"/>
      <c r="T151" s="4" t="str">
        <f>HYPERLINK("http://slimages.macys.com/is/image/MCY/19977928 ")</f>
        <v xml:space="preserve">http://slimages.macys.com/is/image/MCY/19977928 </v>
      </c>
    </row>
    <row r="152" spans="1:20" ht="15" customHeight="1" x14ac:dyDescent="0.25">
      <c r="A152" s="4" t="s">
        <v>2489</v>
      </c>
      <c r="B152" s="2" t="s">
        <v>2487</v>
      </c>
      <c r="C152" s="2" t="s">
        <v>2488</v>
      </c>
      <c r="D152" s="5" t="s">
        <v>2490</v>
      </c>
      <c r="E152" s="4" t="s">
        <v>2491</v>
      </c>
      <c r="F152" s="6">
        <v>14210606</v>
      </c>
      <c r="G152" s="3">
        <v>14210606</v>
      </c>
      <c r="H152" s="7">
        <v>733004780936</v>
      </c>
      <c r="I152" s="8" t="s">
        <v>1309</v>
      </c>
      <c r="J152" s="4">
        <v>1</v>
      </c>
      <c r="K152" s="9">
        <v>11.99</v>
      </c>
      <c r="L152" s="9">
        <v>11.99</v>
      </c>
      <c r="M152" s="4" t="s">
        <v>3083</v>
      </c>
      <c r="N152" s="4" t="s">
        <v>2530</v>
      </c>
      <c r="O152" s="4" t="s">
        <v>2628</v>
      </c>
      <c r="P152" s="4" t="s">
        <v>2602</v>
      </c>
      <c r="Q152" s="4" t="s">
        <v>2528</v>
      </c>
      <c r="R152" s="4"/>
      <c r="S152" s="4"/>
      <c r="T152" s="4" t="str">
        <f>HYPERLINK("http://slimages.macys.com/is/image/MCY/20450174 ")</f>
        <v xml:space="preserve">http://slimages.macys.com/is/image/MCY/20450174 </v>
      </c>
    </row>
    <row r="153" spans="1:20" ht="15" customHeight="1" x14ac:dyDescent="0.25">
      <c r="A153" s="4" t="s">
        <v>2489</v>
      </c>
      <c r="B153" s="2" t="s">
        <v>2487</v>
      </c>
      <c r="C153" s="2" t="s">
        <v>2488</v>
      </c>
      <c r="D153" s="5" t="s">
        <v>2490</v>
      </c>
      <c r="E153" s="4" t="s">
        <v>2491</v>
      </c>
      <c r="F153" s="6">
        <v>14210606</v>
      </c>
      <c r="G153" s="3">
        <v>14210606</v>
      </c>
      <c r="H153" s="7">
        <v>733004800368</v>
      </c>
      <c r="I153" s="8" t="s">
        <v>3054</v>
      </c>
      <c r="J153" s="4">
        <v>1</v>
      </c>
      <c r="K153" s="9">
        <v>12.99</v>
      </c>
      <c r="L153" s="9">
        <v>12.99</v>
      </c>
      <c r="M153" s="4" t="s">
        <v>2724</v>
      </c>
      <c r="N153" s="4" t="s">
        <v>2523</v>
      </c>
      <c r="O153" s="4">
        <v>5</v>
      </c>
      <c r="P153" s="4" t="s">
        <v>2602</v>
      </c>
      <c r="Q153" s="4" t="s">
        <v>2528</v>
      </c>
      <c r="R153" s="4"/>
      <c r="S153" s="4"/>
      <c r="T153" s="4" t="str">
        <f>HYPERLINK("http://slimages.macys.com/is/image/MCY/1059804 ")</f>
        <v xml:space="preserve">http://slimages.macys.com/is/image/MCY/1059804 </v>
      </c>
    </row>
    <row r="154" spans="1:20" ht="15" customHeight="1" x14ac:dyDescent="0.25">
      <c r="A154" s="4" t="s">
        <v>2489</v>
      </c>
      <c r="B154" s="2" t="s">
        <v>2487</v>
      </c>
      <c r="C154" s="2" t="s">
        <v>2488</v>
      </c>
      <c r="D154" s="5" t="s">
        <v>2490</v>
      </c>
      <c r="E154" s="4" t="s">
        <v>2491</v>
      </c>
      <c r="F154" s="6">
        <v>14210606</v>
      </c>
      <c r="G154" s="3">
        <v>14210606</v>
      </c>
      <c r="H154" s="7">
        <v>733003908249</v>
      </c>
      <c r="I154" s="8" t="s">
        <v>1062</v>
      </c>
      <c r="J154" s="4">
        <v>1</v>
      </c>
      <c r="K154" s="9">
        <v>19.989999999999998</v>
      </c>
      <c r="L154" s="9">
        <v>19.989999999999998</v>
      </c>
      <c r="M154" s="4" t="s">
        <v>1063</v>
      </c>
      <c r="N154" s="4" t="s">
        <v>2665</v>
      </c>
      <c r="O154" s="4" t="s">
        <v>2566</v>
      </c>
      <c r="P154" s="4" t="s">
        <v>2503</v>
      </c>
      <c r="Q154" s="4" t="s">
        <v>2504</v>
      </c>
      <c r="R154" s="4"/>
      <c r="S154" s="4"/>
      <c r="T154" s="4" t="str">
        <f>HYPERLINK("http://slimages.macys.com/is/image/MCY/19510460 ")</f>
        <v xml:space="preserve">http://slimages.macys.com/is/image/MCY/19510460 </v>
      </c>
    </row>
    <row r="155" spans="1:20" ht="15" customHeight="1" x14ac:dyDescent="0.25">
      <c r="A155" s="4" t="s">
        <v>2489</v>
      </c>
      <c r="B155" s="2" t="s">
        <v>2487</v>
      </c>
      <c r="C155" s="2" t="s">
        <v>2488</v>
      </c>
      <c r="D155" s="5" t="s">
        <v>2490</v>
      </c>
      <c r="E155" s="4" t="s">
        <v>2491</v>
      </c>
      <c r="F155" s="6">
        <v>14210606</v>
      </c>
      <c r="G155" s="3">
        <v>14210606</v>
      </c>
      <c r="H155" s="7">
        <v>195883653372</v>
      </c>
      <c r="I155" s="8" t="s">
        <v>206</v>
      </c>
      <c r="J155" s="4">
        <v>1</v>
      </c>
      <c r="K155" s="9">
        <v>9.99</v>
      </c>
      <c r="L155" s="9">
        <v>9.99</v>
      </c>
      <c r="M155" s="4" t="s">
        <v>207</v>
      </c>
      <c r="N155" s="4" t="s">
        <v>2526</v>
      </c>
      <c r="O155" s="4" t="s">
        <v>2555</v>
      </c>
      <c r="P155" s="4" t="s">
        <v>2556</v>
      </c>
      <c r="Q155" s="4" t="s">
        <v>2527</v>
      </c>
      <c r="R155" s="4"/>
      <c r="S155" s="4"/>
      <c r="T155" s="4" t="str">
        <f>HYPERLINK("http://slimages.macys.com/is/image/MCY/20732898 ")</f>
        <v xml:space="preserve">http://slimages.macys.com/is/image/MCY/20732898 </v>
      </c>
    </row>
    <row r="156" spans="1:20" ht="15" customHeight="1" x14ac:dyDescent="0.25">
      <c r="A156" s="4" t="s">
        <v>2489</v>
      </c>
      <c r="B156" s="2" t="s">
        <v>2487</v>
      </c>
      <c r="C156" s="2" t="s">
        <v>2488</v>
      </c>
      <c r="D156" s="5" t="s">
        <v>2490</v>
      </c>
      <c r="E156" s="4" t="s">
        <v>2491</v>
      </c>
      <c r="F156" s="6">
        <v>14210606</v>
      </c>
      <c r="G156" s="3">
        <v>14210606</v>
      </c>
      <c r="H156" s="7">
        <v>733003621209</v>
      </c>
      <c r="I156" s="8" t="s">
        <v>208</v>
      </c>
      <c r="J156" s="4">
        <v>1</v>
      </c>
      <c r="K156" s="9">
        <v>7.99</v>
      </c>
      <c r="L156" s="9">
        <v>7.99</v>
      </c>
      <c r="M156" s="4" t="s">
        <v>209</v>
      </c>
      <c r="N156" s="4" t="s">
        <v>2642</v>
      </c>
      <c r="O156" s="4" t="s">
        <v>2650</v>
      </c>
      <c r="P156" s="4" t="s">
        <v>2503</v>
      </c>
      <c r="Q156" s="4" t="s">
        <v>2504</v>
      </c>
      <c r="R156" s="4"/>
      <c r="S156" s="4"/>
      <c r="T156" s="4" t="str">
        <f>HYPERLINK("http://slimages.macys.com/is/image/MCY/876675 ")</f>
        <v xml:space="preserve">http://slimages.macys.com/is/image/MCY/876675 </v>
      </c>
    </row>
    <row r="157" spans="1:20" ht="15" customHeight="1" x14ac:dyDescent="0.25">
      <c r="A157" s="4" t="s">
        <v>2489</v>
      </c>
      <c r="B157" s="2" t="s">
        <v>2487</v>
      </c>
      <c r="C157" s="2" t="s">
        <v>2488</v>
      </c>
      <c r="D157" s="5" t="s">
        <v>2490</v>
      </c>
      <c r="E157" s="4" t="s">
        <v>2491</v>
      </c>
      <c r="F157" s="6">
        <v>14210606</v>
      </c>
      <c r="G157" s="3">
        <v>14210606</v>
      </c>
      <c r="H157" s="7">
        <v>194135539839</v>
      </c>
      <c r="I157" s="8" t="s">
        <v>210</v>
      </c>
      <c r="J157" s="4">
        <v>2</v>
      </c>
      <c r="K157" s="9">
        <v>11.42</v>
      </c>
      <c r="L157" s="9">
        <v>22.84</v>
      </c>
      <c r="M157" s="4" t="s">
        <v>211</v>
      </c>
      <c r="N157" s="4"/>
      <c r="O157" s="4" t="s">
        <v>2705</v>
      </c>
      <c r="P157" s="4" t="s">
        <v>2657</v>
      </c>
      <c r="Q157" s="4" t="s">
        <v>2716</v>
      </c>
      <c r="R157" s="4"/>
      <c r="S157" s="4"/>
      <c r="T157" s="4" t="str">
        <f>HYPERLINK("http://slimages.macys.com/is/image/MCY/19916874 ")</f>
        <v xml:space="preserve">http://slimages.macys.com/is/image/MCY/19916874 </v>
      </c>
    </row>
    <row r="158" spans="1:20" ht="15" customHeight="1" x14ac:dyDescent="0.25">
      <c r="A158" s="4" t="s">
        <v>2489</v>
      </c>
      <c r="B158" s="2" t="s">
        <v>2487</v>
      </c>
      <c r="C158" s="2" t="s">
        <v>2488</v>
      </c>
      <c r="D158" s="5" t="s">
        <v>2490</v>
      </c>
      <c r="E158" s="4" t="s">
        <v>2491</v>
      </c>
      <c r="F158" s="6">
        <v>14210606</v>
      </c>
      <c r="G158" s="3">
        <v>14210606</v>
      </c>
      <c r="H158" s="7">
        <v>733004290329</v>
      </c>
      <c r="I158" s="8" t="s">
        <v>212</v>
      </c>
      <c r="J158" s="4">
        <v>1</v>
      </c>
      <c r="K158" s="9">
        <v>6.99</v>
      </c>
      <c r="L158" s="9">
        <v>6.99</v>
      </c>
      <c r="M158" s="4" t="s">
        <v>2988</v>
      </c>
      <c r="N158" s="4" t="s">
        <v>2600</v>
      </c>
      <c r="O158" s="4" t="s">
        <v>2566</v>
      </c>
      <c r="P158" s="4" t="s">
        <v>2503</v>
      </c>
      <c r="Q158" s="4" t="s">
        <v>2504</v>
      </c>
      <c r="R158" s="4"/>
      <c r="S158" s="4"/>
      <c r="T158" s="4" t="str">
        <f>HYPERLINK("http://slimages.macys.com/is/image/MCY/19746501 ")</f>
        <v xml:space="preserve">http://slimages.macys.com/is/image/MCY/19746501 </v>
      </c>
    </row>
    <row r="159" spans="1:20" ht="15" customHeight="1" x14ac:dyDescent="0.25">
      <c r="A159" s="4" t="s">
        <v>2489</v>
      </c>
      <c r="B159" s="2" t="s">
        <v>2487</v>
      </c>
      <c r="C159" s="2" t="s">
        <v>2488</v>
      </c>
      <c r="D159" s="5" t="s">
        <v>2490</v>
      </c>
      <c r="E159" s="4" t="s">
        <v>2491</v>
      </c>
      <c r="F159" s="6">
        <v>14210606</v>
      </c>
      <c r="G159" s="3">
        <v>14210606</v>
      </c>
      <c r="H159" s="7">
        <v>733004112584</v>
      </c>
      <c r="I159" s="8" t="s">
        <v>213</v>
      </c>
      <c r="J159" s="4">
        <v>1</v>
      </c>
      <c r="K159" s="9">
        <v>7.99</v>
      </c>
      <c r="L159" s="9">
        <v>7.99</v>
      </c>
      <c r="M159" s="4" t="s">
        <v>1240</v>
      </c>
      <c r="N159" s="4" t="s">
        <v>2571</v>
      </c>
      <c r="O159" s="4">
        <v>6</v>
      </c>
      <c r="P159" s="4" t="s">
        <v>2520</v>
      </c>
      <c r="Q159" s="4" t="s">
        <v>2528</v>
      </c>
      <c r="R159" s="4"/>
      <c r="S159" s="4"/>
      <c r="T159" s="4" t="str">
        <f>HYPERLINK("http://slimages.macys.com/is/image/MCY/19844159 ")</f>
        <v xml:space="preserve">http://slimages.macys.com/is/image/MCY/19844159 </v>
      </c>
    </row>
    <row r="160" spans="1:20" ht="15" customHeight="1" x14ac:dyDescent="0.25">
      <c r="A160" s="4" t="s">
        <v>2489</v>
      </c>
      <c r="B160" s="2" t="s">
        <v>2487</v>
      </c>
      <c r="C160" s="2" t="s">
        <v>2488</v>
      </c>
      <c r="D160" s="5" t="s">
        <v>2490</v>
      </c>
      <c r="E160" s="4" t="s">
        <v>2491</v>
      </c>
      <c r="F160" s="6">
        <v>14210606</v>
      </c>
      <c r="G160" s="3">
        <v>14210606</v>
      </c>
      <c r="H160" s="7">
        <v>733004287060</v>
      </c>
      <c r="I160" s="8" t="s">
        <v>214</v>
      </c>
      <c r="J160" s="4">
        <v>1</v>
      </c>
      <c r="K160" s="9">
        <v>6.99</v>
      </c>
      <c r="L160" s="9">
        <v>6.99</v>
      </c>
      <c r="M160" s="4" t="s">
        <v>109</v>
      </c>
      <c r="N160" s="4" t="s">
        <v>2600</v>
      </c>
      <c r="O160" s="4" t="s">
        <v>2566</v>
      </c>
      <c r="P160" s="4" t="s">
        <v>2503</v>
      </c>
      <c r="Q160" s="4" t="s">
        <v>2504</v>
      </c>
      <c r="R160" s="4"/>
      <c r="S160" s="4"/>
      <c r="T160" s="4" t="str">
        <f>HYPERLINK("http://slimages.macys.com/is/image/MCY/19746506 ")</f>
        <v xml:space="preserve">http://slimages.macys.com/is/image/MCY/19746506 </v>
      </c>
    </row>
    <row r="161" spans="1:20" ht="15" customHeight="1" x14ac:dyDescent="0.25">
      <c r="A161" s="4" t="s">
        <v>2489</v>
      </c>
      <c r="B161" s="2" t="s">
        <v>2487</v>
      </c>
      <c r="C161" s="2" t="s">
        <v>2488</v>
      </c>
      <c r="D161" s="5" t="s">
        <v>2490</v>
      </c>
      <c r="E161" s="4" t="s">
        <v>2491</v>
      </c>
      <c r="F161" s="6">
        <v>14210606</v>
      </c>
      <c r="G161" s="3">
        <v>14210606</v>
      </c>
      <c r="H161" s="7">
        <v>733003920715</v>
      </c>
      <c r="I161" s="8" t="s">
        <v>2780</v>
      </c>
      <c r="J161" s="4">
        <v>1</v>
      </c>
      <c r="K161" s="9">
        <v>7.99</v>
      </c>
      <c r="L161" s="9">
        <v>7.99</v>
      </c>
      <c r="M161" s="4" t="s">
        <v>2781</v>
      </c>
      <c r="N161" s="4" t="s">
        <v>2600</v>
      </c>
      <c r="O161" s="4" t="s">
        <v>2650</v>
      </c>
      <c r="P161" s="4" t="s">
        <v>2503</v>
      </c>
      <c r="Q161" s="4" t="s">
        <v>2504</v>
      </c>
      <c r="R161" s="4"/>
      <c r="S161" s="4"/>
      <c r="T161" s="4" t="str">
        <f>HYPERLINK("http://slimages.macys.com/is/image/MCY/19507927 ")</f>
        <v xml:space="preserve">http://slimages.macys.com/is/image/MCY/19507927 </v>
      </c>
    </row>
    <row r="162" spans="1:20" ht="15" customHeight="1" x14ac:dyDescent="0.25">
      <c r="A162" s="4" t="s">
        <v>2489</v>
      </c>
      <c r="B162" s="2" t="s">
        <v>2487</v>
      </c>
      <c r="C162" s="2" t="s">
        <v>2488</v>
      </c>
      <c r="D162" s="5" t="s">
        <v>2490</v>
      </c>
      <c r="E162" s="4" t="s">
        <v>2491</v>
      </c>
      <c r="F162" s="6">
        <v>14210606</v>
      </c>
      <c r="G162" s="3">
        <v>14210606</v>
      </c>
      <c r="H162" s="7">
        <v>195958008922</v>
      </c>
      <c r="I162" s="8" t="s">
        <v>215</v>
      </c>
      <c r="J162" s="4">
        <v>1</v>
      </c>
      <c r="K162" s="9">
        <v>19.329999999999998</v>
      </c>
      <c r="L162" s="9">
        <v>19.329999999999998</v>
      </c>
      <c r="M162" s="4" t="s">
        <v>216</v>
      </c>
      <c r="N162" s="4" t="s">
        <v>2544</v>
      </c>
      <c r="O162" s="4">
        <v>7</v>
      </c>
      <c r="P162" s="4" t="s">
        <v>2506</v>
      </c>
      <c r="Q162" s="4" t="s">
        <v>3117</v>
      </c>
      <c r="R162" s="4"/>
      <c r="S162" s="4"/>
      <c r="T162" s="4" t="str">
        <f>HYPERLINK("http://slimages.macys.com/is/image/MCY/20434267 ")</f>
        <v xml:space="preserve">http://slimages.macys.com/is/image/MCY/20434267 </v>
      </c>
    </row>
    <row r="163" spans="1:20" ht="15" customHeight="1" x14ac:dyDescent="0.25">
      <c r="A163" s="4" t="s">
        <v>2489</v>
      </c>
      <c r="B163" s="2" t="s">
        <v>2487</v>
      </c>
      <c r="C163" s="2" t="s">
        <v>2488</v>
      </c>
      <c r="D163" s="5" t="s">
        <v>2490</v>
      </c>
      <c r="E163" s="4" t="s">
        <v>2491</v>
      </c>
      <c r="F163" s="6">
        <v>14210606</v>
      </c>
      <c r="G163" s="3">
        <v>14210606</v>
      </c>
      <c r="H163" s="7">
        <v>195239424243</v>
      </c>
      <c r="I163" s="8" t="s">
        <v>217</v>
      </c>
      <c r="J163" s="4">
        <v>2</v>
      </c>
      <c r="K163" s="9">
        <v>18.989999999999998</v>
      </c>
      <c r="L163" s="9">
        <v>37.979999999999997</v>
      </c>
      <c r="M163" s="4" t="s">
        <v>2859</v>
      </c>
      <c r="N163" s="4" t="s">
        <v>2535</v>
      </c>
      <c r="O163" s="4" t="s">
        <v>2555</v>
      </c>
      <c r="P163" s="4" t="s">
        <v>2619</v>
      </c>
      <c r="Q163" s="4" t="s">
        <v>2568</v>
      </c>
      <c r="R163" s="4" t="s">
        <v>2741</v>
      </c>
      <c r="S163" s="4" t="s">
        <v>2834</v>
      </c>
      <c r="T163" s="4" t="str">
        <f>HYPERLINK("http://images.bloomingdales.com/is/image/BLM/11555830 ")</f>
        <v xml:space="preserve">http://images.bloomingdales.com/is/image/BLM/11555830 </v>
      </c>
    </row>
    <row r="164" spans="1:20" ht="15" customHeight="1" x14ac:dyDescent="0.25">
      <c r="A164" s="4" t="s">
        <v>2489</v>
      </c>
      <c r="B164" s="2" t="s">
        <v>2487</v>
      </c>
      <c r="C164" s="2" t="s">
        <v>2488</v>
      </c>
      <c r="D164" s="5" t="s">
        <v>2490</v>
      </c>
      <c r="E164" s="4" t="s">
        <v>2491</v>
      </c>
      <c r="F164" s="6">
        <v>14210606</v>
      </c>
      <c r="G164" s="3">
        <v>14210606</v>
      </c>
      <c r="H164" s="7">
        <v>195238042233</v>
      </c>
      <c r="I164" s="8" t="s">
        <v>218</v>
      </c>
      <c r="J164" s="4">
        <v>1</v>
      </c>
      <c r="K164" s="9">
        <v>58.99</v>
      </c>
      <c r="L164" s="9">
        <v>58.99</v>
      </c>
      <c r="M164" s="4" t="s">
        <v>3016</v>
      </c>
      <c r="N164" s="4" t="s">
        <v>2535</v>
      </c>
      <c r="O164" s="4" t="s">
        <v>2498</v>
      </c>
      <c r="P164" s="4" t="s">
        <v>2619</v>
      </c>
      <c r="Q164" s="4" t="s">
        <v>2568</v>
      </c>
      <c r="R164" s="4"/>
      <c r="S164" s="4"/>
      <c r="T164" s="4" t="str">
        <f>HYPERLINK("http://slimages.macys.com/is/image/MCY/20219107 ")</f>
        <v xml:space="preserve">http://slimages.macys.com/is/image/MCY/20219107 </v>
      </c>
    </row>
    <row r="165" spans="1:20" ht="15" customHeight="1" x14ac:dyDescent="0.25">
      <c r="A165" s="4" t="s">
        <v>2489</v>
      </c>
      <c r="B165" s="2" t="s">
        <v>2487</v>
      </c>
      <c r="C165" s="2" t="s">
        <v>2488</v>
      </c>
      <c r="D165" s="5" t="s">
        <v>2490</v>
      </c>
      <c r="E165" s="4" t="s">
        <v>2491</v>
      </c>
      <c r="F165" s="6">
        <v>14210606</v>
      </c>
      <c r="G165" s="3">
        <v>14210606</v>
      </c>
      <c r="H165" s="7">
        <v>195239424236</v>
      </c>
      <c r="I165" s="8" t="s">
        <v>219</v>
      </c>
      <c r="J165" s="4">
        <v>1</v>
      </c>
      <c r="K165" s="9">
        <v>18.989999999999998</v>
      </c>
      <c r="L165" s="9">
        <v>18.989999999999998</v>
      </c>
      <c r="M165" s="4" t="s">
        <v>2859</v>
      </c>
      <c r="N165" s="4" t="s">
        <v>2535</v>
      </c>
      <c r="O165" s="4" t="s">
        <v>2519</v>
      </c>
      <c r="P165" s="4" t="s">
        <v>2619</v>
      </c>
      <c r="Q165" s="4" t="s">
        <v>2568</v>
      </c>
      <c r="R165" s="4" t="s">
        <v>2741</v>
      </c>
      <c r="S165" s="4" t="s">
        <v>2834</v>
      </c>
      <c r="T165" s="4" t="str">
        <f>HYPERLINK("http://images.bloomingdales.com/is/image/BLM/11555830 ")</f>
        <v xml:space="preserve">http://images.bloomingdales.com/is/image/BLM/11555830 </v>
      </c>
    </row>
    <row r="166" spans="1:20" ht="15" customHeight="1" x14ac:dyDescent="0.25">
      <c r="A166" s="4" t="s">
        <v>2489</v>
      </c>
      <c r="B166" s="2" t="s">
        <v>2487</v>
      </c>
      <c r="C166" s="2" t="s">
        <v>2488</v>
      </c>
      <c r="D166" s="5" t="s">
        <v>2490</v>
      </c>
      <c r="E166" s="4" t="s">
        <v>2491</v>
      </c>
      <c r="F166" s="6">
        <v>14210606</v>
      </c>
      <c r="G166" s="3">
        <v>14210606</v>
      </c>
      <c r="H166" s="7">
        <v>742728755663</v>
      </c>
      <c r="I166" s="8" t="s">
        <v>220</v>
      </c>
      <c r="J166" s="4">
        <v>1</v>
      </c>
      <c r="K166" s="9">
        <v>33.99</v>
      </c>
      <c r="L166" s="9">
        <v>33.99</v>
      </c>
      <c r="M166" s="4" t="s">
        <v>221</v>
      </c>
      <c r="N166" s="4" t="s">
        <v>3457</v>
      </c>
      <c r="O166" s="4" t="s">
        <v>2653</v>
      </c>
      <c r="P166" s="4" t="s">
        <v>2619</v>
      </c>
      <c r="Q166" s="4" t="s">
        <v>2733</v>
      </c>
      <c r="R166" s="4"/>
      <c r="S166" s="4"/>
      <c r="T166" s="4" t="str">
        <f>HYPERLINK("http://slimages.macys.com/is/image/MCY/21497745 ")</f>
        <v xml:space="preserve">http://slimages.macys.com/is/image/MCY/21497745 </v>
      </c>
    </row>
    <row r="167" spans="1:20" ht="15" customHeight="1" x14ac:dyDescent="0.25">
      <c r="A167" s="4" t="s">
        <v>2489</v>
      </c>
      <c r="B167" s="2" t="s">
        <v>2487</v>
      </c>
      <c r="C167" s="2" t="s">
        <v>2488</v>
      </c>
      <c r="D167" s="5" t="s">
        <v>2490</v>
      </c>
      <c r="E167" s="4" t="s">
        <v>2491</v>
      </c>
      <c r="F167" s="6">
        <v>14210606</v>
      </c>
      <c r="G167" s="3">
        <v>14210606</v>
      </c>
      <c r="H167" s="7">
        <v>733004112416</v>
      </c>
      <c r="I167" s="8" t="s">
        <v>222</v>
      </c>
      <c r="J167" s="4">
        <v>1</v>
      </c>
      <c r="K167" s="9">
        <v>7.99</v>
      </c>
      <c r="L167" s="9">
        <v>7.99</v>
      </c>
      <c r="M167" s="4" t="s">
        <v>223</v>
      </c>
      <c r="N167" s="4" t="s">
        <v>2567</v>
      </c>
      <c r="O167" s="4">
        <v>7</v>
      </c>
      <c r="P167" s="4" t="s">
        <v>2520</v>
      </c>
      <c r="Q167" s="4" t="s">
        <v>2528</v>
      </c>
      <c r="R167" s="4"/>
      <c r="S167" s="4"/>
      <c r="T167" s="4" t="str">
        <f>HYPERLINK("http://slimages.macys.com/is/image/MCY/19844170 ")</f>
        <v xml:space="preserve">http://slimages.macys.com/is/image/MCY/19844170 </v>
      </c>
    </row>
    <row r="168" spans="1:20" ht="15" customHeight="1" x14ac:dyDescent="0.25">
      <c r="A168" s="4" t="s">
        <v>2489</v>
      </c>
      <c r="B168" s="2" t="s">
        <v>2487</v>
      </c>
      <c r="C168" s="2" t="s">
        <v>2488</v>
      </c>
      <c r="D168" s="5" t="s">
        <v>2490</v>
      </c>
      <c r="E168" s="4" t="s">
        <v>2491</v>
      </c>
      <c r="F168" s="6">
        <v>14210606</v>
      </c>
      <c r="G168" s="3">
        <v>14210606</v>
      </c>
      <c r="H168" s="7">
        <v>195883817620</v>
      </c>
      <c r="I168" s="8" t="s">
        <v>450</v>
      </c>
      <c r="J168" s="4">
        <v>1</v>
      </c>
      <c r="K168" s="9">
        <v>18.989999999999998</v>
      </c>
      <c r="L168" s="9">
        <v>18.989999999999998</v>
      </c>
      <c r="M168" s="4" t="s">
        <v>451</v>
      </c>
      <c r="N168" s="4" t="s">
        <v>2501</v>
      </c>
      <c r="O168" s="4">
        <v>6</v>
      </c>
      <c r="P168" s="4" t="s">
        <v>2536</v>
      </c>
      <c r="Q168" s="4" t="s">
        <v>2944</v>
      </c>
      <c r="R168" s="4"/>
      <c r="S168" s="4"/>
      <c r="T168" s="4"/>
    </row>
    <row r="169" spans="1:20" ht="15" customHeight="1" x14ac:dyDescent="0.25">
      <c r="A169" s="4" t="s">
        <v>2489</v>
      </c>
      <c r="B169" s="2" t="s">
        <v>2487</v>
      </c>
      <c r="C169" s="2" t="s">
        <v>2488</v>
      </c>
      <c r="D169" s="5" t="s">
        <v>2490</v>
      </c>
      <c r="E169" s="4" t="s">
        <v>2491</v>
      </c>
      <c r="F169" s="6">
        <v>14210606</v>
      </c>
      <c r="G169" s="3">
        <v>14210606</v>
      </c>
      <c r="H169" s="7">
        <v>762120087414</v>
      </c>
      <c r="I169" s="8" t="s">
        <v>1800</v>
      </c>
      <c r="J169" s="4">
        <v>1</v>
      </c>
      <c r="K169" s="9">
        <v>7.99</v>
      </c>
      <c r="L169" s="9">
        <v>7.99</v>
      </c>
      <c r="M169" s="4" t="s">
        <v>1801</v>
      </c>
      <c r="N169" s="4" t="s">
        <v>2501</v>
      </c>
      <c r="O169" s="4">
        <v>6</v>
      </c>
      <c r="P169" s="4" t="s">
        <v>2602</v>
      </c>
      <c r="Q169" s="4" t="s">
        <v>2528</v>
      </c>
      <c r="R169" s="4"/>
      <c r="S169" s="4"/>
      <c r="T169" s="4" t="str">
        <f>HYPERLINK("http://slimages.macys.com/is/image/MCY/20691899 ")</f>
        <v xml:space="preserve">http://slimages.macys.com/is/image/MCY/20691899 </v>
      </c>
    </row>
    <row r="170" spans="1:20" ht="15" customHeight="1" x14ac:dyDescent="0.25">
      <c r="A170" s="4" t="s">
        <v>2489</v>
      </c>
      <c r="B170" s="2" t="s">
        <v>2487</v>
      </c>
      <c r="C170" s="2" t="s">
        <v>2488</v>
      </c>
      <c r="D170" s="5" t="s">
        <v>2490</v>
      </c>
      <c r="E170" s="4" t="s">
        <v>2491</v>
      </c>
      <c r="F170" s="6">
        <v>14210606</v>
      </c>
      <c r="G170" s="3">
        <v>14210606</v>
      </c>
      <c r="H170" s="7">
        <v>889799987071</v>
      </c>
      <c r="I170" s="8" t="s">
        <v>224</v>
      </c>
      <c r="J170" s="4">
        <v>2</v>
      </c>
      <c r="K170" s="9">
        <v>22.99</v>
      </c>
      <c r="L170" s="9">
        <v>45.98</v>
      </c>
      <c r="M170" s="4" t="s">
        <v>225</v>
      </c>
      <c r="N170" s="4" t="s">
        <v>2544</v>
      </c>
      <c r="O170" s="4">
        <v>6</v>
      </c>
      <c r="P170" s="4" t="s">
        <v>2569</v>
      </c>
      <c r="Q170" s="4" t="s">
        <v>2570</v>
      </c>
      <c r="R170" s="4"/>
      <c r="S170" s="4"/>
      <c r="T170" s="4"/>
    </row>
    <row r="171" spans="1:20" ht="15" customHeight="1" x14ac:dyDescent="0.25">
      <c r="A171" s="4" t="s">
        <v>2489</v>
      </c>
      <c r="B171" s="2" t="s">
        <v>2487</v>
      </c>
      <c r="C171" s="2" t="s">
        <v>2488</v>
      </c>
      <c r="D171" s="5" t="s">
        <v>2490</v>
      </c>
      <c r="E171" s="4" t="s">
        <v>2491</v>
      </c>
      <c r="F171" s="6">
        <v>14210606</v>
      </c>
      <c r="G171" s="3">
        <v>14210606</v>
      </c>
      <c r="H171" s="7">
        <v>195958069732</v>
      </c>
      <c r="I171" s="8" t="s">
        <v>226</v>
      </c>
      <c r="J171" s="4">
        <v>1</v>
      </c>
      <c r="K171" s="9">
        <v>30</v>
      </c>
      <c r="L171" s="9">
        <v>30</v>
      </c>
      <c r="M171" s="4" t="s">
        <v>227</v>
      </c>
      <c r="N171" s="4" t="s">
        <v>2526</v>
      </c>
      <c r="O171" s="4"/>
      <c r="P171" s="4" t="s">
        <v>2499</v>
      </c>
      <c r="Q171" s="4" t="s">
        <v>2945</v>
      </c>
      <c r="R171" s="4"/>
      <c r="S171" s="4"/>
      <c r="T171" s="4" t="str">
        <f>HYPERLINK("http://slimages.macys.com/is/image/MCY/19945263 ")</f>
        <v xml:space="preserve">http://slimages.macys.com/is/image/MCY/19945263 </v>
      </c>
    </row>
    <row r="172" spans="1:20" ht="15" customHeight="1" x14ac:dyDescent="0.25">
      <c r="A172" s="4" t="s">
        <v>2489</v>
      </c>
      <c r="B172" s="2" t="s">
        <v>2487</v>
      </c>
      <c r="C172" s="2" t="s">
        <v>2488</v>
      </c>
      <c r="D172" s="5" t="s">
        <v>2490</v>
      </c>
      <c r="E172" s="4" t="s">
        <v>2491</v>
      </c>
      <c r="F172" s="6">
        <v>14210606</v>
      </c>
      <c r="G172" s="3">
        <v>14210606</v>
      </c>
      <c r="H172" s="7">
        <v>195883642017</v>
      </c>
      <c r="I172" s="8" t="s">
        <v>228</v>
      </c>
      <c r="J172" s="4">
        <v>1</v>
      </c>
      <c r="K172" s="9">
        <v>7.99</v>
      </c>
      <c r="L172" s="9">
        <v>7.99</v>
      </c>
      <c r="M172" s="4" t="s">
        <v>1068</v>
      </c>
      <c r="N172" s="4" t="s">
        <v>2505</v>
      </c>
      <c r="O172" s="4">
        <v>2</v>
      </c>
      <c r="P172" s="4" t="s">
        <v>2506</v>
      </c>
      <c r="Q172" s="4" t="s">
        <v>2527</v>
      </c>
      <c r="R172" s="4"/>
      <c r="S172" s="4"/>
      <c r="T172" s="4" t="str">
        <f>HYPERLINK("http://slimages.macys.com/is/image/MCY/20726208 ")</f>
        <v xml:space="preserve">http://slimages.macys.com/is/image/MCY/20726208 </v>
      </c>
    </row>
    <row r="173" spans="1:20" ht="15" customHeight="1" x14ac:dyDescent="0.25">
      <c r="A173" s="4" t="s">
        <v>2489</v>
      </c>
      <c r="B173" s="2" t="s">
        <v>2487</v>
      </c>
      <c r="C173" s="2" t="s">
        <v>2488</v>
      </c>
      <c r="D173" s="5" t="s">
        <v>2490</v>
      </c>
      <c r="E173" s="4" t="s">
        <v>2491</v>
      </c>
      <c r="F173" s="6">
        <v>14210606</v>
      </c>
      <c r="G173" s="3">
        <v>14210606</v>
      </c>
      <c r="H173" s="7">
        <v>733004765049</v>
      </c>
      <c r="I173" s="8" t="s">
        <v>1539</v>
      </c>
      <c r="J173" s="4">
        <v>1</v>
      </c>
      <c r="K173" s="9">
        <v>39.99</v>
      </c>
      <c r="L173" s="9">
        <v>39.99</v>
      </c>
      <c r="M173" s="4" t="s">
        <v>1527</v>
      </c>
      <c r="N173" s="4" t="s">
        <v>2561</v>
      </c>
      <c r="O173" s="4" t="s">
        <v>2519</v>
      </c>
      <c r="P173" s="4" t="s">
        <v>2515</v>
      </c>
      <c r="Q173" s="4" t="s">
        <v>2672</v>
      </c>
      <c r="R173" s="4"/>
      <c r="S173" s="4"/>
      <c r="T173" s="4" t="str">
        <f>HYPERLINK("http://slimages.macys.com/is/image/MCY/20530539 ")</f>
        <v xml:space="preserve">http://slimages.macys.com/is/image/MCY/20530539 </v>
      </c>
    </row>
    <row r="174" spans="1:20" ht="15" customHeight="1" x14ac:dyDescent="0.25">
      <c r="A174" s="4" t="s">
        <v>2489</v>
      </c>
      <c r="B174" s="2" t="s">
        <v>2487</v>
      </c>
      <c r="C174" s="2" t="s">
        <v>2488</v>
      </c>
      <c r="D174" s="5" t="s">
        <v>2490</v>
      </c>
      <c r="E174" s="4" t="s">
        <v>2491</v>
      </c>
      <c r="F174" s="6">
        <v>14210606</v>
      </c>
      <c r="G174" s="3">
        <v>14210606</v>
      </c>
      <c r="H174" s="7">
        <v>48283658204</v>
      </c>
      <c r="I174" s="8" t="s">
        <v>229</v>
      </c>
      <c r="J174" s="4">
        <v>1</v>
      </c>
      <c r="K174" s="9">
        <v>32.99</v>
      </c>
      <c r="L174" s="9">
        <v>32.99</v>
      </c>
      <c r="M174" s="4" t="s">
        <v>230</v>
      </c>
      <c r="N174" s="4" t="s">
        <v>2523</v>
      </c>
      <c r="O174" s="4" t="s">
        <v>3333</v>
      </c>
      <c r="P174" s="4" t="s">
        <v>2622</v>
      </c>
      <c r="Q174" s="4" t="s">
        <v>3315</v>
      </c>
      <c r="R174" s="4" t="s">
        <v>2552</v>
      </c>
      <c r="S174" s="4" t="s">
        <v>3394</v>
      </c>
      <c r="T174" s="4" t="str">
        <f>HYPERLINK("http://slimages.macys.com/is/image/MCY/15684752 ")</f>
        <v xml:space="preserve">http://slimages.macys.com/is/image/MCY/15684752 </v>
      </c>
    </row>
    <row r="175" spans="1:20" ht="15" customHeight="1" x14ac:dyDescent="0.25">
      <c r="A175" s="4" t="s">
        <v>2489</v>
      </c>
      <c r="B175" s="2" t="s">
        <v>2487</v>
      </c>
      <c r="C175" s="2" t="s">
        <v>2488</v>
      </c>
      <c r="D175" s="5" t="s">
        <v>2490</v>
      </c>
      <c r="E175" s="4" t="s">
        <v>2491</v>
      </c>
      <c r="F175" s="6">
        <v>14210606</v>
      </c>
      <c r="G175" s="3">
        <v>14210606</v>
      </c>
      <c r="H175" s="7">
        <v>192042807348</v>
      </c>
      <c r="I175" s="8" t="s">
        <v>231</v>
      </c>
      <c r="J175" s="4">
        <v>1</v>
      </c>
      <c r="K175" s="9">
        <v>15</v>
      </c>
      <c r="L175" s="9">
        <v>15</v>
      </c>
      <c r="M175" s="4" t="s">
        <v>167</v>
      </c>
      <c r="N175" s="4" t="s">
        <v>2638</v>
      </c>
      <c r="O175" s="4"/>
      <c r="P175" s="4" t="s">
        <v>2622</v>
      </c>
      <c r="Q175" s="4" t="s">
        <v>2623</v>
      </c>
      <c r="R175" s="4" t="s">
        <v>2552</v>
      </c>
      <c r="S175" s="4" t="s">
        <v>3256</v>
      </c>
      <c r="T175" s="4" t="str">
        <f>HYPERLINK("http://slimages.macys.com/is/image/MCY/12954201 ")</f>
        <v xml:space="preserve">http://slimages.macys.com/is/image/MCY/12954201 </v>
      </c>
    </row>
    <row r="176" spans="1:20" ht="15" customHeight="1" x14ac:dyDescent="0.25">
      <c r="A176" s="4" t="s">
        <v>2489</v>
      </c>
      <c r="B176" s="2" t="s">
        <v>2487</v>
      </c>
      <c r="C176" s="2" t="s">
        <v>2488</v>
      </c>
      <c r="D176" s="5" t="s">
        <v>2490</v>
      </c>
      <c r="E176" s="4" t="s">
        <v>2491</v>
      </c>
      <c r="F176" s="6">
        <v>14210606</v>
      </c>
      <c r="G176" s="3">
        <v>14210606</v>
      </c>
      <c r="H176" s="7">
        <v>194654630994</v>
      </c>
      <c r="I176" s="8" t="s">
        <v>232</v>
      </c>
      <c r="J176" s="4">
        <v>1</v>
      </c>
      <c r="K176" s="9">
        <v>46</v>
      </c>
      <c r="L176" s="9">
        <v>46</v>
      </c>
      <c r="M176" s="4" t="s">
        <v>133</v>
      </c>
      <c r="N176" s="4" t="s">
        <v>2523</v>
      </c>
      <c r="O176" s="4">
        <v>7</v>
      </c>
      <c r="P176" s="4" t="s">
        <v>2510</v>
      </c>
      <c r="Q176" s="4" t="s">
        <v>2549</v>
      </c>
      <c r="R176" s="4"/>
      <c r="S176" s="4"/>
      <c r="T176" s="4" t="str">
        <f>HYPERLINK("http://slimages.macys.com/is/image/MCY/20018503 ")</f>
        <v xml:space="preserve">http://slimages.macys.com/is/image/MCY/20018503 </v>
      </c>
    </row>
    <row r="177" spans="1:20" ht="15" customHeight="1" x14ac:dyDescent="0.25">
      <c r="A177" s="4" t="s">
        <v>2489</v>
      </c>
      <c r="B177" s="2" t="s">
        <v>2487</v>
      </c>
      <c r="C177" s="2" t="s">
        <v>2488</v>
      </c>
      <c r="D177" s="5" t="s">
        <v>2490</v>
      </c>
      <c r="E177" s="4" t="s">
        <v>2491</v>
      </c>
      <c r="F177" s="6">
        <v>14210606</v>
      </c>
      <c r="G177" s="3">
        <v>14210606</v>
      </c>
      <c r="H177" s="7">
        <v>192170592093</v>
      </c>
      <c r="I177" s="8" t="s">
        <v>233</v>
      </c>
      <c r="J177" s="4">
        <v>1</v>
      </c>
      <c r="K177" s="9">
        <v>65</v>
      </c>
      <c r="L177" s="9">
        <v>65</v>
      </c>
      <c r="M177" s="4" t="s">
        <v>234</v>
      </c>
      <c r="N177" s="4" t="s">
        <v>2497</v>
      </c>
      <c r="O177" s="4">
        <v>2</v>
      </c>
      <c r="P177" s="4" t="s">
        <v>2510</v>
      </c>
      <c r="Q177" s="4" t="s">
        <v>3221</v>
      </c>
      <c r="R177" s="4" t="s">
        <v>2552</v>
      </c>
      <c r="S177" s="4" t="s">
        <v>235</v>
      </c>
      <c r="T177" s="4" t="str">
        <f>HYPERLINK("http://slimages.macys.com/is/image/MCY/15511709 ")</f>
        <v xml:space="preserve">http://slimages.macys.com/is/image/MCY/15511709 </v>
      </c>
    </row>
    <row r="178" spans="1:20" ht="15" customHeight="1" x14ac:dyDescent="0.25">
      <c r="A178" s="4" t="s">
        <v>2489</v>
      </c>
      <c r="B178" s="2" t="s">
        <v>2487</v>
      </c>
      <c r="C178" s="2" t="s">
        <v>2488</v>
      </c>
      <c r="D178" s="5" t="s">
        <v>2490</v>
      </c>
      <c r="E178" s="4" t="s">
        <v>2491</v>
      </c>
      <c r="F178" s="6">
        <v>14210606</v>
      </c>
      <c r="G178" s="3">
        <v>14210606</v>
      </c>
      <c r="H178" s="7">
        <v>194753969490</v>
      </c>
      <c r="I178" s="8" t="s">
        <v>236</v>
      </c>
      <c r="J178" s="4">
        <v>1</v>
      </c>
      <c r="K178" s="9">
        <v>49.5</v>
      </c>
      <c r="L178" s="9">
        <v>49.5</v>
      </c>
      <c r="M178" s="4" t="s">
        <v>237</v>
      </c>
      <c r="N178" s="4" t="s">
        <v>2600</v>
      </c>
      <c r="O178" s="4"/>
      <c r="P178" s="4" t="s">
        <v>2866</v>
      </c>
      <c r="Q178" s="4" t="s">
        <v>2656</v>
      </c>
      <c r="R178" s="4"/>
      <c r="S178" s="4"/>
      <c r="T178" s="4" t="str">
        <f>HYPERLINK("http://slimages.macys.com/is/image/MCY/20533809 ")</f>
        <v xml:space="preserve">http://slimages.macys.com/is/image/MCY/20533809 </v>
      </c>
    </row>
    <row r="179" spans="1:20" ht="15" customHeight="1" x14ac:dyDescent="0.25">
      <c r="A179" s="4" t="s">
        <v>2489</v>
      </c>
      <c r="B179" s="2" t="s">
        <v>2487</v>
      </c>
      <c r="C179" s="2" t="s">
        <v>2488</v>
      </c>
      <c r="D179" s="5" t="s">
        <v>2490</v>
      </c>
      <c r="E179" s="4" t="s">
        <v>2491</v>
      </c>
      <c r="F179" s="6">
        <v>14210606</v>
      </c>
      <c r="G179" s="3">
        <v>14210606</v>
      </c>
      <c r="H179" s="7">
        <v>194135419544</v>
      </c>
      <c r="I179" s="8" t="s">
        <v>238</v>
      </c>
      <c r="J179" s="4">
        <v>1</v>
      </c>
      <c r="K179" s="9">
        <v>25.07</v>
      </c>
      <c r="L179" s="9">
        <v>25.07</v>
      </c>
      <c r="M179" s="4" t="s">
        <v>239</v>
      </c>
      <c r="N179" s="4"/>
      <c r="O179" s="4" t="s">
        <v>2502</v>
      </c>
      <c r="P179" s="4" t="s">
        <v>2494</v>
      </c>
      <c r="Q179" s="4" t="s">
        <v>2560</v>
      </c>
      <c r="R179" s="4"/>
      <c r="S179" s="4"/>
      <c r="T179" s="4" t="str">
        <f>HYPERLINK("http://slimages.macys.com/is/image/MCY/21422861 ")</f>
        <v xml:space="preserve">http://slimages.macys.com/is/image/MCY/21422861 </v>
      </c>
    </row>
    <row r="180" spans="1:20" ht="15" customHeight="1" x14ac:dyDescent="0.25">
      <c r="A180" s="4" t="s">
        <v>2489</v>
      </c>
      <c r="B180" s="2" t="s">
        <v>2487</v>
      </c>
      <c r="C180" s="2" t="s">
        <v>2488</v>
      </c>
      <c r="D180" s="5" t="s">
        <v>2490</v>
      </c>
      <c r="E180" s="4" t="s">
        <v>2491</v>
      </c>
      <c r="F180" s="6">
        <v>14210606</v>
      </c>
      <c r="G180" s="3">
        <v>14210606</v>
      </c>
      <c r="H180" s="7">
        <v>194257534736</v>
      </c>
      <c r="I180" s="8" t="s">
        <v>240</v>
      </c>
      <c r="J180" s="4">
        <v>1</v>
      </c>
      <c r="K180" s="9">
        <v>9.99</v>
      </c>
      <c r="L180" s="9">
        <v>9.99</v>
      </c>
      <c r="M180" s="4" t="s">
        <v>3124</v>
      </c>
      <c r="N180" s="4" t="s">
        <v>2766</v>
      </c>
      <c r="O180" s="4">
        <v>6</v>
      </c>
      <c r="P180" s="4" t="s">
        <v>2499</v>
      </c>
      <c r="Q180" s="4" t="s">
        <v>2525</v>
      </c>
      <c r="R180" s="4"/>
      <c r="S180" s="4"/>
      <c r="T180" s="4" t="str">
        <f>HYPERLINK("http://slimages.macys.com/is/image/MCY/19764550 ")</f>
        <v xml:space="preserve">http://slimages.macys.com/is/image/MCY/19764550 </v>
      </c>
    </row>
    <row r="181" spans="1:20" ht="15" customHeight="1" x14ac:dyDescent="0.25">
      <c r="A181" s="4" t="s">
        <v>2489</v>
      </c>
      <c r="B181" s="2" t="s">
        <v>2487</v>
      </c>
      <c r="C181" s="2" t="s">
        <v>2488</v>
      </c>
      <c r="D181" s="5" t="s">
        <v>2490</v>
      </c>
      <c r="E181" s="4" t="s">
        <v>2491</v>
      </c>
      <c r="F181" s="6">
        <v>14210606</v>
      </c>
      <c r="G181" s="3">
        <v>14210606</v>
      </c>
      <c r="H181" s="7">
        <v>762120085458</v>
      </c>
      <c r="I181" s="8" t="s">
        <v>2928</v>
      </c>
      <c r="J181" s="4">
        <v>1</v>
      </c>
      <c r="K181" s="9">
        <v>7.99</v>
      </c>
      <c r="L181" s="9">
        <v>7.99</v>
      </c>
      <c r="M181" s="4" t="s">
        <v>2929</v>
      </c>
      <c r="N181" s="4"/>
      <c r="O181" s="4" t="s">
        <v>2650</v>
      </c>
      <c r="P181" s="4" t="s">
        <v>2602</v>
      </c>
      <c r="Q181" s="4" t="s">
        <v>2528</v>
      </c>
      <c r="R181" s="4"/>
      <c r="S181" s="4"/>
      <c r="T181" s="4" t="str">
        <f>HYPERLINK("http://slimages.macys.com/is/image/MCY/20691813 ")</f>
        <v xml:space="preserve">http://slimages.macys.com/is/image/MCY/20691813 </v>
      </c>
    </row>
    <row r="182" spans="1:20" ht="15" customHeight="1" x14ac:dyDescent="0.25">
      <c r="A182" s="4" t="s">
        <v>2489</v>
      </c>
      <c r="B182" s="2" t="s">
        <v>2487</v>
      </c>
      <c r="C182" s="2" t="s">
        <v>2488</v>
      </c>
      <c r="D182" s="5" t="s">
        <v>2490</v>
      </c>
      <c r="E182" s="4" t="s">
        <v>2491</v>
      </c>
      <c r="F182" s="6">
        <v>14210606</v>
      </c>
      <c r="G182" s="3">
        <v>14210606</v>
      </c>
      <c r="H182" s="7">
        <v>762120087506</v>
      </c>
      <c r="I182" s="8" t="s">
        <v>3340</v>
      </c>
      <c r="J182" s="4">
        <v>1</v>
      </c>
      <c r="K182" s="9">
        <v>7.99</v>
      </c>
      <c r="L182" s="9">
        <v>7.99</v>
      </c>
      <c r="M182" s="4" t="s">
        <v>1332</v>
      </c>
      <c r="N182" s="4" t="s">
        <v>2492</v>
      </c>
      <c r="O182" s="4" t="s">
        <v>2628</v>
      </c>
      <c r="P182" s="4" t="s">
        <v>2602</v>
      </c>
      <c r="Q182" s="4" t="s">
        <v>2528</v>
      </c>
      <c r="R182" s="4"/>
      <c r="S182" s="4"/>
      <c r="T182" s="4" t="str">
        <f>HYPERLINK("http://slimages.macys.com/is/image/MCY/20691905 ")</f>
        <v xml:space="preserve">http://slimages.macys.com/is/image/MCY/20691905 </v>
      </c>
    </row>
    <row r="183" spans="1:20" ht="15" customHeight="1" x14ac:dyDescent="0.25">
      <c r="A183" s="4" t="s">
        <v>2489</v>
      </c>
      <c r="B183" s="2" t="s">
        <v>2487</v>
      </c>
      <c r="C183" s="2" t="s">
        <v>2488</v>
      </c>
      <c r="D183" s="5" t="s">
        <v>2490</v>
      </c>
      <c r="E183" s="4" t="s">
        <v>2491</v>
      </c>
      <c r="F183" s="6">
        <v>14210606</v>
      </c>
      <c r="G183" s="3">
        <v>14210606</v>
      </c>
      <c r="H183" s="7">
        <v>733004779091</v>
      </c>
      <c r="I183" s="8" t="s">
        <v>3292</v>
      </c>
      <c r="J183" s="4">
        <v>1</v>
      </c>
      <c r="K183" s="9">
        <v>7.99</v>
      </c>
      <c r="L183" s="9">
        <v>7.99</v>
      </c>
      <c r="M183" s="4" t="s">
        <v>2719</v>
      </c>
      <c r="N183" s="4" t="s">
        <v>2565</v>
      </c>
      <c r="O183" s="4" t="s">
        <v>2650</v>
      </c>
      <c r="P183" s="4" t="s">
        <v>2602</v>
      </c>
      <c r="Q183" s="4" t="s">
        <v>2528</v>
      </c>
      <c r="R183" s="4"/>
      <c r="S183" s="4"/>
      <c r="T183" s="4" t="str">
        <f>HYPERLINK("http://slimages.macys.com/is/image/MCY/20450156 ")</f>
        <v xml:space="preserve">http://slimages.macys.com/is/image/MCY/20450156 </v>
      </c>
    </row>
    <row r="184" spans="1:20" ht="15" customHeight="1" x14ac:dyDescent="0.25">
      <c r="A184" s="4" t="s">
        <v>2489</v>
      </c>
      <c r="B184" s="2" t="s">
        <v>2487</v>
      </c>
      <c r="C184" s="2" t="s">
        <v>2488</v>
      </c>
      <c r="D184" s="5" t="s">
        <v>2490</v>
      </c>
      <c r="E184" s="4" t="s">
        <v>2491</v>
      </c>
      <c r="F184" s="6">
        <v>14210606</v>
      </c>
      <c r="G184" s="3">
        <v>14210606</v>
      </c>
      <c r="H184" s="7">
        <v>733004780028</v>
      </c>
      <c r="I184" s="8" t="s">
        <v>1982</v>
      </c>
      <c r="J184" s="4">
        <v>2</v>
      </c>
      <c r="K184" s="9">
        <v>7.99</v>
      </c>
      <c r="L184" s="9">
        <v>15.98</v>
      </c>
      <c r="M184" s="4" t="s">
        <v>3128</v>
      </c>
      <c r="N184" s="4" t="s">
        <v>2632</v>
      </c>
      <c r="O184" s="4" t="s">
        <v>2629</v>
      </c>
      <c r="P184" s="4" t="s">
        <v>2602</v>
      </c>
      <c r="Q184" s="4" t="s">
        <v>2528</v>
      </c>
      <c r="R184" s="4"/>
      <c r="S184" s="4"/>
      <c r="T184" s="4" t="str">
        <f>HYPERLINK("http://slimages.macys.com/is/image/MCY/20450161 ")</f>
        <v xml:space="preserve">http://slimages.macys.com/is/image/MCY/20450161 </v>
      </c>
    </row>
    <row r="185" spans="1:20" ht="15" customHeight="1" x14ac:dyDescent="0.25">
      <c r="A185" s="4" t="s">
        <v>2489</v>
      </c>
      <c r="B185" s="2" t="s">
        <v>2487</v>
      </c>
      <c r="C185" s="2" t="s">
        <v>2488</v>
      </c>
      <c r="D185" s="5" t="s">
        <v>2490</v>
      </c>
      <c r="E185" s="4" t="s">
        <v>2491</v>
      </c>
      <c r="F185" s="6">
        <v>14210606</v>
      </c>
      <c r="G185" s="3">
        <v>14210606</v>
      </c>
      <c r="H185" s="7">
        <v>733004780219</v>
      </c>
      <c r="I185" s="8" t="s">
        <v>1561</v>
      </c>
      <c r="J185" s="4">
        <v>1</v>
      </c>
      <c r="K185" s="9">
        <v>7.99</v>
      </c>
      <c r="L185" s="9">
        <v>7.99</v>
      </c>
      <c r="M185" s="4" t="s">
        <v>3149</v>
      </c>
      <c r="N185" s="4" t="s">
        <v>2638</v>
      </c>
      <c r="O185" s="4" t="s">
        <v>2628</v>
      </c>
      <c r="P185" s="4" t="s">
        <v>2602</v>
      </c>
      <c r="Q185" s="4" t="s">
        <v>2528</v>
      </c>
      <c r="R185" s="4"/>
      <c r="S185" s="4"/>
      <c r="T185" s="4" t="str">
        <f>HYPERLINK("http://slimages.macys.com/is/image/MCY/20450168 ")</f>
        <v xml:space="preserve">http://slimages.macys.com/is/image/MCY/20450168 </v>
      </c>
    </row>
    <row r="186" spans="1:20" ht="15" customHeight="1" x14ac:dyDescent="0.25">
      <c r="A186" s="4" t="s">
        <v>2489</v>
      </c>
      <c r="B186" s="2" t="s">
        <v>2487</v>
      </c>
      <c r="C186" s="2" t="s">
        <v>2488</v>
      </c>
      <c r="D186" s="5" t="s">
        <v>2490</v>
      </c>
      <c r="E186" s="4" t="s">
        <v>2491</v>
      </c>
      <c r="F186" s="6">
        <v>14210606</v>
      </c>
      <c r="G186" s="3">
        <v>14210606</v>
      </c>
      <c r="H186" s="7">
        <v>733003643768</v>
      </c>
      <c r="I186" s="8" t="s">
        <v>3278</v>
      </c>
      <c r="J186" s="4">
        <v>1</v>
      </c>
      <c r="K186" s="9">
        <v>18.989999999999998</v>
      </c>
      <c r="L186" s="9">
        <v>18.989999999999998</v>
      </c>
      <c r="M186" s="4" t="s">
        <v>3079</v>
      </c>
      <c r="N186" s="4" t="s">
        <v>2514</v>
      </c>
      <c r="O186" s="4" t="s">
        <v>2629</v>
      </c>
      <c r="P186" s="4" t="s">
        <v>2515</v>
      </c>
      <c r="Q186" s="4" t="s">
        <v>2972</v>
      </c>
      <c r="R186" s="4"/>
      <c r="S186" s="4"/>
      <c r="T186" s="4" t="str">
        <f>HYPERLINK("http://slimages.macys.com/is/image/MCY/20008344 ")</f>
        <v xml:space="preserve">http://slimages.macys.com/is/image/MCY/20008344 </v>
      </c>
    </row>
    <row r="187" spans="1:20" ht="15" customHeight="1" x14ac:dyDescent="0.25">
      <c r="A187" s="4" t="s">
        <v>2489</v>
      </c>
      <c r="B187" s="2" t="s">
        <v>2487</v>
      </c>
      <c r="C187" s="2" t="s">
        <v>2488</v>
      </c>
      <c r="D187" s="5" t="s">
        <v>2490</v>
      </c>
      <c r="E187" s="4" t="s">
        <v>2491</v>
      </c>
      <c r="F187" s="6">
        <v>14210606</v>
      </c>
      <c r="G187" s="3">
        <v>14210606</v>
      </c>
      <c r="H187" s="7">
        <v>733004722691</v>
      </c>
      <c r="I187" s="8" t="s">
        <v>1365</v>
      </c>
      <c r="J187" s="4">
        <v>1</v>
      </c>
      <c r="K187" s="9">
        <v>25.99</v>
      </c>
      <c r="L187" s="9">
        <v>25.99</v>
      </c>
      <c r="M187" s="4" t="s">
        <v>3193</v>
      </c>
      <c r="N187" s="4" t="s">
        <v>2530</v>
      </c>
      <c r="O187" s="4" t="s">
        <v>2559</v>
      </c>
      <c r="P187" s="4" t="s">
        <v>2503</v>
      </c>
      <c r="Q187" s="4" t="s">
        <v>2504</v>
      </c>
      <c r="R187" s="4"/>
      <c r="S187" s="4"/>
      <c r="T187" s="4" t="str">
        <f>HYPERLINK("http://slimages.macys.com/is/image/MCY/19977902 ")</f>
        <v xml:space="preserve">http://slimages.macys.com/is/image/MCY/19977902 </v>
      </c>
    </row>
    <row r="188" spans="1:20" ht="15" customHeight="1" x14ac:dyDescent="0.25">
      <c r="A188" s="4" t="s">
        <v>2489</v>
      </c>
      <c r="B188" s="2" t="s">
        <v>2487</v>
      </c>
      <c r="C188" s="2" t="s">
        <v>2488</v>
      </c>
      <c r="D188" s="5" t="s">
        <v>2490</v>
      </c>
      <c r="E188" s="4" t="s">
        <v>2491</v>
      </c>
      <c r="F188" s="6">
        <v>14210606</v>
      </c>
      <c r="G188" s="3">
        <v>14210606</v>
      </c>
      <c r="H188" s="7">
        <v>733004738319</v>
      </c>
      <c r="I188" s="8" t="s">
        <v>1963</v>
      </c>
      <c r="J188" s="4">
        <v>1</v>
      </c>
      <c r="K188" s="9">
        <v>6.99</v>
      </c>
      <c r="L188" s="9">
        <v>6.99</v>
      </c>
      <c r="M188" s="4" t="s">
        <v>2783</v>
      </c>
      <c r="N188" s="4" t="s">
        <v>2501</v>
      </c>
      <c r="O188" s="4" t="s">
        <v>2601</v>
      </c>
      <c r="P188" s="4" t="s">
        <v>2503</v>
      </c>
      <c r="Q188" s="4" t="s">
        <v>2504</v>
      </c>
      <c r="R188" s="4"/>
      <c r="S188" s="4"/>
      <c r="T188" s="4" t="str">
        <f>HYPERLINK("http://slimages.macys.com/is/image/MCY/19977723 ")</f>
        <v xml:space="preserve">http://slimages.macys.com/is/image/MCY/19977723 </v>
      </c>
    </row>
    <row r="189" spans="1:20" ht="15" customHeight="1" x14ac:dyDescent="0.25">
      <c r="A189" s="4" t="s">
        <v>2489</v>
      </c>
      <c r="B189" s="2" t="s">
        <v>2487</v>
      </c>
      <c r="C189" s="2" t="s">
        <v>2488</v>
      </c>
      <c r="D189" s="5" t="s">
        <v>2490</v>
      </c>
      <c r="E189" s="4" t="s">
        <v>2491</v>
      </c>
      <c r="F189" s="6">
        <v>14210606</v>
      </c>
      <c r="G189" s="3">
        <v>14210606</v>
      </c>
      <c r="H189" s="7">
        <v>733003930448</v>
      </c>
      <c r="I189" s="8" t="s">
        <v>3174</v>
      </c>
      <c r="J189" s="4">
        <v>1</v>
      </c>
      <c r="K189" s="9">
        <v>12.99</v>
      </c>
      <c r="L189" s="9">
        <v>12.99</v>
      </c>
      <c r="M189" s="4" t="s">
        <v>3175</v>
      </c>
      <c r="N189" s="4" t="s">
        <v>2501</v>
      </c>
      <c r="O189" s="4" t="s">
        <v>2566</v>
      </c>
      <c r="P189" s="4" t="s">
        <v>2503</v>
      </c>
      <c r="Q189" s="4" t="s">
        <v>2504</v>
      </c>
      <c r="R189" s="4"/>
      <c r="S189" s="4"/>
      <c r="T189" s="4" t="str">
        <f>HYPERLINK("http://slimages.macys.com/is/image/MCY/19511794 ")</f>
        <v xml:space="preserve">http://slimages.macys.com/is/image/MCY/19511794 </v>
      </c>
    </row>
    <row r="190" spans="1:20" ht="15" customHeight="1" x14ac:dyDescent="0.25">
      <c r="A190" s="4" t="s">
        <v>2489</v>
      </c>
      <c r="B190" s="2" t="s">
        <v>2487</v>
      </c>
      <c r="C190" s="2" t="s">
        <v>2488</v>
      </c>
      <c r="D190" s="5" t="s">
        <v>2490</v>
      </c>
      <c r="E190" s="4" t="s">
        <v>2491</v>
      </c>
      <c r="F190" s="6">
        <v>14210606</v>
      </c>
      <c r="G190" s="3">
        <v>14210606</v>
      </c>
      <c r="H190" s="7">
        <v>733004780097</v>
      </c>
      <c r="I190" s="8" t="s">
        <v>3218</v>
      </c>
      <c r="J190" s="4">
        <v>3</v>
      </c>
      <c r="K190" s="9">
        <v>7.99</v>
      </c>
      <c r="L190" s="9">
        <v>23.97</v>
      </c>
      <c r="M190" s="4" t="s">
        <v>2692</v>
      </c>
      <c r="N190" s="4" t="s">
        <v>2501</v>
      </c>
      <c r="O190" s="4" t="s">
        <v>2628</v>
      </c>
      <c r="P190" s="4" t="s">
        <v>2602</v>
      </c>
      <c r="Q190" s="4" t="s">
        <v>2528</v>
      </c>
      <c r="R190" s="4"/>
      <c r="S190" s="4"/>
      <c r="T190" s="4" t="str">
        <f>HYPERLINK("http://slimages.macys.com/is/image/MCY/20450163 ")</f>
        <v xml:space="preserve">http://slimages.macys.com/is/image/MCY/20450163 </v>
      </c>
    </row>
    <row r="191" spans="1:20" ht="15" customHeight="1" x14ac:dyDescent="0.25">
      <c r="A191" s="4" t="s">
        <v>2489</v>
      </c>
      <c r="B191" s="2" t="s">
        <v>2487</v>
      </c>
      <c r="C191" s="2" t="s">
        <v>2488</v>
      </c>
      <c r="D191" s="5" t="s">
        <v>2490</v>
      </c>
      <c r="E191" s="4" t="s">
        <v>2491</v>
      </c>
      <c r="F191" s="6">
        <v>14210606</v>
      </c>
      <c r="G191" s="3">
        <v>14210606</v>
      </c>
      <c r="H191" s="7">
        <v>733003805012</v>
      </c>
      <c r="I191" s="8" t="s">
        <v>3231</v>
      </c>
      <c r="J191" s="4">
        <v>2</v>
      </c>
      <c r="K191" s="9">
        <v>5.99</v>
      </c>
      <c r="L191" s="9">
        <v>11.98</v>
      </c>
      <c r="M191" s="4" t="s">
        <v>3232</v>
      </c>
      <c r="N191" s="4" t="s">
        <v>2682</v>
      </c>
      <c r="O191" s="4" t="s">
        <v>2587</v>
      </c>
      <c r="P191" s="4" t="s">
        <v>2520</v>
      </c>
      <c r="Q191" s="4" t="s">
        <v>2528</v>
      </c>
      <c r="R191" s="4"/>
      <c r="S191" s="4"/>
      <c r="T191" s="4" t="str">
        <f>HYPERLINK("http://slimages.macys.com/is/image/MCY/19239511 ")</f>
        <v xml:space="preserve">http://slimages.macys.com/is/image/MCY/19239511 </v>
      </c>
    </row>
    <row r="192" spans="1:20" ht="15" customHeight="1" x14ac:dyDescent="0.25">
      <c r="A192" s="4" t="s">
        <v>2489</v>
      </c>
      <c r="B192" s="2" t="s">
        <v>2487</v>
      </c>
      <c r="C192" s="2" t="s">
        <v>2488</v>
      </c>
      <c r="D192" s="5" t="s">
        <v>2490</v>
      </c>
      <c r="E192" s="4" t="s">
        <v>2491</v>
      </c>
      <c r="F192" s="6">
        <v>14210606</v>
      </c>
      <c r="G192" s="3">
        <v>14210606</v>
      </c>
      <c r="H192" s="7">
        <v>195883653341</v>
      </c>
      <c r="I192" s="8" t="s">
        <v>241</v>
      </c>
      <c r="J192" s="4">
        <v>1</v>
      </c>
      <c r="K192" s="9">
        <v>9.99</v>
      </c>
      <c r="L192" s="9">
        <v>9.99</v>
      </c>
      <c r="M192" s="4" t="s">
        <v>242</v>
      </c>
      <c r="N192" s="4" t="s">
        <v>2664</v>
      </c>
      <c r="O192" s="4" t="s">
        <v>2498</v>
      </c>
      <c r="P192" s="4" t="s">
        <v>2556</v>
      </c>
      <c r="Q192" s="4" t="s">
        <v>2527</v>
      </c>
      <c r="R192" s="4"/>
      <c r="S192" s="4"/>
      <c r="T192" s="4" t="str">
        <f>HYPERLINK("http://slimages.macys.com/is/image/MCY/20732907 ")</f>
        <v xml:space="preserve">http://slimages.macys.com/is/image/MCY/20732907 </v>
      </c>
    </row>
    <row r="193" spans="1:20" ht="15" customHeight="1" x14ac:dyDescent="0.25">
      <c r="A193" s="4" t="s">
        <v>2489</v>
      </c>
      <c r="B193" s="2" t="s">
        <v>2487</v>
      </c>
      <c r="C193" s="2" t="s">
        <v>2488</v>
      </c>
      <c r="D193" s="5" t="s">
        <v>2490</v>
      </c>
      <c r="E193" s="4" t="s">
        <v>2491</v>
      </c>
      <c r="F193" s="6">
        <v>14210606</v>
      </c>
      <c r="G193" s="3">
        <v>14210606</v>
      </c>
      <c r="H193" s="7">
        <v>196325228912</v>
      </c>
      <c r="I193" s="8" t="s">
        <v>243</v>
      </c>
      <c r="J193" s="4">
        <v>1</v>
      </c>
      <c r="K193" s="9">
        <v>8.31</v>
      </c>
      <c r="L193" s="9">
        <v>8.31</v>
      </c>
      <c r="M193" s="4" t="s">
        <v>244</v>
      </c>
      <c r="N193" s="4" t="s">
        <v>2505</v>
      </c>
      <c r="O193" s="4" t="s">
        <v>2498</v>
      </c>
      <c r="P193" s="4" t="s">
        <v>2556</v>
      </c>
      <c r="Q193" s="4" t="s">
        <v>2527</v>
      </c>
      <c r="R193" s="4"/>
      <c r="S193" s="4"/>
      <c r="T193" s="4" t="str">
        <f>HYPERLINK("http://slimages.macys.com/is/image/MCY/20726403 ")</f>
        <v xml:space="preserve">http://slimages.macys.com/is/image/MCY/20726403 </v>
      </c>
    </row>
    <row r="194" spans="1:20" ht="15" customHeight="1" x14ac:dyDescent="0.25">
      <c r="A194" s="4" t="s">
        <v>2489</v>
      </c>
      <c r="B194" s="2" t="s">
        <v>2487</v>
      </c>
      <c r="C194" s="2" t="s">
        <v>2488</v>
      </c>
      <c r="D194" s="5" t="s">
        <v>2490</v>
      </c>
      <c r="E194" s="4" t="s">
        <v>2491</v>
      </c>
      <c r="F194" s="6">
        <v>14210606</v>
      </c>
      <c r="G194" s="3">
        <v>14210606</v>
      </c>
      <c r="H194" s="7">
        <v>194870571453</v>
      </c>
      <c r="I194" s="8" t="s">
        <v>785</v>
      </c>
      <c r="J194" s="4">
        <v>1</v>
      </c>
      <c r="K194" s="9">
        <v>39.99</v>
      </c>
      <c r="L194" s="9">
        <v>39.99</v>
      </c>
      <c r="M194" s="4" t="s">
        <v>3382</v>
      </c>
      <c r="N194" s="4" t="s">
        <v>2682</v>
      </c>
      <c r="O194" s="4" t="s">
        <v>2519</v>
      </c>
      <c r="P194" s="4" t="s">
        <v>2499</v>
      </c>
      <c r="Q194" s="4" t="s">
        <v>2694</v>
      </c>
      <c r="R194" s="4"/>
      <c r="S194" s="4"/>
      <c r="T194" s="4" t="str">
        <f>HYPERLINK("http://slimages.macys.com/is/image/MCY/20077252 ")</f>
        <v xml:space="preserve">http://slimages.macys.com/is/image/MCY/20077252 </v>
      </c>
    </row>
    <row r="195" spans="1:20" ht="15" customHeight="1" x14ac:dyDescent="0.25">
      <c r="A195" s="4" t="s">
        <v>2489</v>
      </c>
      <c r="B195" s="2" t="s">
        <v>2487</v>
      </c>
      <c r="C195" s="2" t="s">
        <v>2488</v>
      </c>
      <c r="D195" s="5" t="s">
        <v>2490</v>
      </c>
      <c r="E195" s="4" t="s">
        <v>2491</v>
      </c>
      <c r="F195" s="6">
        <v>14210606</v>
      </c>
      <c r="G195" s="3">
        <v>14210606</v>
      </c>
      <c r="H195" s="7">
        <v>733004752988</v>
      </c>
      <c r="I195" s="8" t="s">
        <v>245</v>
      </c>
      <c r="J195" s="4">
        <v>1</v>
      </c>
      <c r="K195" s="9">
        <v>14.99</v>
      </c>
      <c r="L195" s="9">
        <v>14.99</v>
      </c>
      <c r="M195" s="4" t="s">
        <v>2123</v>
      </c>
      <c r="N195" s="4" t="s">
        <v>2514</v>
      </c>
      <c r="O195" s="4" t="s">
        <v>2498</v>
      </c>
      <c r="P195" s="4" t="s">
        <v>2543</v>
      </c>
      <c r="Q195" s="4" t="s">
        <v>2528</v>
      </c>
      <c r="R195" s="4"/>
      <c r="S195" s="4"/>
      <c r="T195" s="4" t="str">
        <f>HYPERLINK("http://slimages.macys.com/is/image/MCY/20440836 ")</f>
        <v xml:space="preserve">http://slimages.macys.com/is/image/MCY/20440836 </v>
      </c>
    </row>
    <row r="196" spans="1:20" ht="15" customHeight="1" x14ac:dyDescent="0.25">
      <c r="A196" s="4" t="s">
        <v>2489</v>
      </c>
      <c r="B196" s="2" t="s">
        <v>2487</v>
      </c>
      <c r="C196" s="2" t="s">
        <v>2488</v>
      </c>
      <c r="D196" s="5" t="s">
        <v>2490</v>
      </c>
      <c r="E196" s="4" t="s">
        <v>2491</v>
      </c>
      <c r="F196" s="6">
        <v>14210606</v>
      </c>
      <c r="G196" s="3">
        <v>14210606</v>
      </c>
      <c r="H196" s="7">
        <v>762120263894</v>
      </c>
      <c r="I196" s="8" t="s">
        <v>1574</v>
      </c>
      <c r="J196" s="4">
        <v>2</v>
      </c>
      <c r="K196" s="9">
        <v>22.99</v>
      </c>
      <c r="L196" s="9">
        <v>45.98</v>
      </c>
      <c r="M196" s="4" t="s">
        <v>1575</v>
      </c>
      <c r="N196" s="4" t="s">
        <v>2501</v>
      </c>
      <c r="O196" s="4" t="s">
        <v>2498</v>
      </c>
      <c r="P196" s="4" t="s">
        <v>2543</v>
      </c>
      <c r="Q196" s="4" t="s">
        <v>2528</v>
      </c>
      <c r="R196" s="4"/>
      <c r="S196" s="4"/>
      <c r="T196" s="4" t="str">
        <f>HYPERLINK("http://slimages.macys.com/is/image/MCY/1111487 ")</f>
        <v xml:space="preserve">http://slimages.macys.com/is/image/MCY/1111487 </v>
      </c>
    </row>
    <row r="197" spans="1:20" ht="15" customHeight="1" x14ac:dyDescent="0.25">
      <c r="A197" s="4" t="s">
        <v>2489</v>
      </c>
      <c r="B197" s="2" t="s">
        <v>2487</v>
      </c>
      <c r="C197" s="2" t="s">
        <v>2488</v>
      </c>
      <c r="D197" s="5" t="s">
        <v>2490</v>
      </c>
      <c r="E197" s="4" t="s">
        <v>2491</v>
      </c>
      <c r="F197" s="6">
        <v>14210606</v>
      </c>
      <c r="G197" s="3">
        <v>14210606</v>
      </c>
      <c r="H197" s="7">
        <v>733004752087</v>
      </c>
      <c r="I197" s="8" t="s">
        <v>1956</v>
      </c>
      <c r="J197" s="4">
        <v>1</v>
      </c>
      <c r="K197" s="9">
        <v>13.99</v>
      </c>
      <c r="L197" s="9">
        <v>13.99</v>
      </c>
      <c r="M197" s="4" t="s">
        <v>1796</v>
      </c>
      <c r="N197" s="4" t="s">
        <v>2548</v>
      </c>
      <c r="O197" s="4" t="s">
        <v>2671</v>
      </c>
      <c r="P197" s="4" t="s">
        <v>2543</v>
      </c>
      <c r="Q197" s="4" t="s">
        <v>2528</v>
      </c>
      <c r="R197" s="4"/>
      <c r="S197" s="4"/>
      <c r="T197" s="4" t="str">
        <f>HYPERLINK("http://slimages.macys.com/is/image/MCY/20440815 ")</f>
        <v xml:space="preserve">http://slimages.macys.com/is/image/MCY/20440815 </v>
      </c>
    </row>
    <row r="198" spans="1:20" ht="15" customHeight="1" x14ac:dyDescent="0.25">
      <c r="A198" s="4" t="s">
        <v>2489</v>
      </c>
      <c r="B198" s="2" t="s">
        <v>2487</v>
      </c>
      <c r="C198" s="2" t="s">
        <v>2488</v>
      </c>
      <c r="D198" s="5" t="s">
        <v>2490</v>
      </c>
      <c r="E198" s="4" t="s">
        <v>2491</v>
      </c>
      <c r="F198" s="6">
        <v>14210606</v>
      </c>
      <c r="G198" s="3">
        <v>14210606</v>
      </c>
      <c r="H198" s="7">
        <v>733003920456</v>
      </c>
      <c r="I198" s="8" t="s">
        <v>246</v>
      </c>
      <c r="J198" s="4">
        <v>1</v>
      </c>
      <c r="K198" s="9">
        <v>7.99</v>
      </c>
      <c r="L198" s="9">
        <v>7.99</v>
      </c>
      <c r="M198" s="4" t="s">
        <v>3069</v>
      </c>
      <c r="N198" s="4" t="s">
        <v>2600</v>
      </c>
      <c r="O198" s="4" t="s">
        <v>2629</v>
      </c>
      <c r="P198" s="4" t="s">
        <v>2503</v>
      </c>
      <c r="Q198" s="4" t="s">
        <v>2504</v>
      </c>
      <c r="R198" s="4"/>
      <c r="S198" s="4"/>
      <c r="T198" s="4" t="str">
        <f>HYPERLINK("http://slimages.macys.com/is/image/MCY/17661777 ")</f>
        <v xml:space="preserve">http://slimages.macys.com/is/image/MCY/17661777 </v>
      </c>
    </row>
    <row r="199" spans="1:20" ht="15" customHeight="1" x14ac:dyDescent="0.25">
      <c r="A199" s="4" t="s">
        <v>2489</v>
      </c>
      <c r="B199" s="2" t="s">
        <v>2487</v>
      </c>
      <c r="C199" s="2" t="s">
        <v>2488</v>
      </c>
      <c r="D199" s="5" t="s">
        <v>2490</v>
      </c>
      <c r="E199" s="4" t="s">
        <v>2491</v>
      </c>
      <c r="F199" s="6">
        <v>14210606</v>
      </c>
      <c r="G199" s="3">
        <v>14210606</v>
      </c>
      <c r="H199" s="7">
        <v>195251595815</v>
      </c>
      <c r="I199" s="8" t="s">
        <v>247</v>
      </c>
      <c r="J199" s="4">
        <v>1</v>
      </c>
      <c r="K199" s="9">
        <v>35</v>
      </c>
      <c r="L199" s="9">
        <v>35</v>
      </c>
      <c r="M199" s="4">
        <v>1361239</v>
      </c>
      <c r="N199" s="4" t="s">
        <v>2492</v>
      </c>
      <c r="O199" s="4" t="s">
        <v>2555</v>
      </c>
      <c r="P199" s="4" t="s">
        <v>2619</v>
      </c>
      <c r="Q199" s="4" t="s">
        <v>2958</v>
      </c>
      <c r="R199" s="4"/>
      <c r="S199" s="4"/>
      <c r="T199" s="4" t="str">
        <f>HYPERLINK("http://slimages.macys.com/is/image/MCY/19883998 ")</f>
        <v xml:space="preserve">http://slimages.macys.com/is/image/MCY/19883998 </v>
      </c>
    </row>
    <row r="200" spans="1:20" ht="15" customHeight="1" x14ac:dyDescent="0.25">
      <c r="A200" s="4" t="s">
        <v>2489</v>
      </c>
      <c r="B200" s="2" t="s">
        <v>2487</v>
      </c>
      <c r="C200" s="2" t="s">
        <v>2488</v>
      </c>
      <c r="D200" s="5" t="s">
        <v>2490</v>
      </c>
      <c r="E200" s="4" t="s">
        <v>2491</v>
      </c>
      <c r="F200" s="6">
        <v>14210606</v>
      </c>
      <c r="G200" s="3">
        <v>14210606</v>
      </c>
      <c r="H200" s="7">
        <v>195958145603</v>
      </c>
      <c r="I200" s="8" t="s">
        <v>1894</v>
      </c>
      <c r="J200" s="4">
        <v>1</v>
      </c>
      <c r="K200" s="9">
        <v>24.99</v>
      </c>
      <c r="L200" s="9">
        <v>24.99</v>
      </c>
      <c r="M200" s="4" t="s">
        <v>1859</v>
      </c>
      <c r="N200" s="4" t="s">
        <v>2544</v>
      </c>
      <c r="O200" s="4" t="s">
        <v>2493</v>
      </c>
      <c r="P200" s="4" t="s">
        <v>2562</v>
      </c>
      <c r="Q200" s="4" t="s">
        <v>2603</v>
      </c>
      <c r="R200" s="4"/>
      <c r="S200" s="4"/>
      <c r="T200" s="4" t="str">
        <f>HYPERLINK("http://slimages.macys.com/is/image/MCY/20123056 ")</f>
        <v xml:space="preserve">http://slimages.macys.com/is/image/MCY/20123056 </v>
      </c>
    </row>
    <row r="201" spans="1:20" ht="15" customHeight="1" x14ac:dyDescent="0.25">
      <c r="A201" s="4" t="s">
        <v>2489</v>
      </c>
      <c r="B201" s="2" t="s">
        <v>2487</v>
      </c>
      <c r="C201" s="2" t="s">
        <v>2488</v>
      </c>
      <c r="D201" s="5" t="s">
        <v>2490</v>
      </c>
      <c r="E201" s="4" t="s">
        <v>2491</v>
      </c>
      <c r="F201" s="6">
        <v>14210606</v>
      </c>
      <c r="G201" s="3">
        <v>14210606</v>
      </c>
      <c r="H201" s="7">
        <v>191539828507</v>
      </c>
      <c r="I201" s="8" t="s">
        <v>248</v>
      </c>
      <c r="J201" s="4">
        <v>1</v>
      </c>
      <c r="K201" s="9">
        <v>29.99</v>
      </c>
      <c r="L201" s="9">
        <v>29.99</v>
      </c>
      <c r="M201" s="4" t="s">
        <v>249</v>
      </c>
      <c r="N201" s="4" t="s">
        <v>2567</v>
      </c>
      <c r="O201" s="4" t="s">
        <v>2502</v>
      </c>
      <c r="P201" s="4" t="s">
        <v>2562</v>
      </c>
      <c r="Q201" s="4" t="s">
        <v>2818</v>
      </c>
      <c r="R201" s="4"/>
      <c r="S201" s="4"/>
      <c r="T201" s="4" t="str">
        <f>HYPERLINK("http://slimages.macys.com/is/image/MCY/20643164 ")</f>
        <v xml:space="preserve">http://slimages.macys.com/is/image/MCY/20643164 </v>
      </c>
    </row>
    <row r="202" spans="1:20" ht="15" customHeight="1" x14ac:dyDescent="0.25">
      <c r="A202" s="4" t="s">
        <v>2489</v>
      </c>
      <c r="B202" s="2" t="s">
        <v>2487</v>
      </c>
      <c r="C202" s="2" t="s">
        <v>2488</v>
      </c>
      <c r="D202" s="5" t="s">
        <v>2490</v>
      </c>
      <c r="E202" s="4" t="s">
        <v>2491</v>
      </c>
      <c r="F202" s="6">
        <v>14210606</v>
      </c>
      <c r="G202" s="3">
        <v>14210606</v>
      </c>
      <c r="H202" s="7">
        <v>733004290824</v>
      </c>
      <c r="I202" s="8" t="s">
        <v>2092</v>
      </c>
      <c r="J202" s="4">
        <v>2</v>
      </c>
      <c r="K202" s="9">
        <v>7.99</v>
      </c>
      <c r="L202" s="9">
        <v>15.98</v>
      </c>
      <c r="M202" s="4" t="s">
        <v>2053</v>
      </c>
      <c r="N202" s="4" t="s">
        <v>2600</v>
      </c>
      <c r="O202" s="4" t="s">
        <v>2629</v>
      </c>
      <c r="P202" s="4" t="s">
        <v>2503</v>
      </c>
      <c r="Q202" s="4" t="s">
        <v>2504</v>
      </c>
      <c r="R202" s="4"/>
      <c r="S202" s="4"/>
      <c r="T202" s="4" t="str">
        <f>HYPERLINK("http://slimages.macys.com/is/image/MCY/19746506 ")</f>
        <v xml:space="preserve">http://slimages.macys.com/is/image/MCY/19746506 </v>
      </c>
    </row>
    <row r="203" spans="1:20" ht="15" customHeight="1" x14ac:dyDescent="0.25">
      <c r="A203" s="4" t="s">
        <v>2489</v>
      </c>
      <c r="B203" s="2" t="s">
        <v>2487</v>
      </c>
      <c r="C203" s="2" t="s">
        <v>2488</v>
      </c>
      <c r="D203" s="5" t="s">
        <v>2490</v>
      </c>
      <c r="E203" s="4" t="s">
        <v>2491</v>
      </c>
      <c r="F203" s="6">
        <v>14210606</v>
      </c>
      <c r="G203" s="3">
        <v>14210606</v>
      </c>
      <c r="H203" s="7">
        <v>733003924782</v>
      </c>
      <c r="I203" s="8" t="s">
        <v>250</v>
      </c>
      <c r="J203" s="4">
        <v>1</v>
      </c>
      <c r="K203" s="9">
        <v>6.99</v>
      </c>
      <c r="L203" s="9">
        <v>6.99</v>
      </c>
      <c r="M203" s="4" t="s">
        <v>495</v>
      </c>
      <c r="N203" s="4" t="s">
        <v>2600</v>
      </c>
      <c r="O203" s="4" t="s">
        <v>2601</v>
      </c>
      <c r="P203" s="4" t="s">
        <v>2503</v>
      </c>
      <c r="Q203" s="4" t="s">
        <v>2504</v>
      </c>
      <c r="R203" s="4"/>
      <c r="S203" s="4"/>
      <c r="T203" s="4" t="str">
        <f>HYPERLINK("http://slimages.macys.com/is/image/MCY/19511046 ")</f>
        <v xml:space="preserve">http://slimages.macys.com/is/image/MCY/19511046 </v>
      </c>
    </row>
    <row r="204" spans="1:20" ht="15" customHeight="1" x14ac:dyDescent="0.25">
      <c r="A204" s="4" t="s">
        <v>2489</v>
      </c>
      <c r="B204" s="2" t="s">
        <v>2487</v>
      </c>
      <c r="C204" s="2" t="s">
        <v>2488</v>
      </c>
      <c r="D204" s="5" t="s">
        <v>2490</v>
      </c>
      <c r="E204" s="4" t="s">
        <v>2491</v>
      </c>
      <c r="F204" s="6">
        <v>14210606</v>
      </c>
      <c r="G204" s="3">
        <v>14210606</v>
      </c>
      <c r="H204" s="7">
        <v>195238038137</v>
      </c>
      <c r="I204" s="8" t="s">
        <v>251</v>
      </c>
      <c r="J204" s="4">
        <v>1</v>
      </c>
      <c r="K204" s="9">
        <v>28.99</v>
      </c>
      <c r="L204" s="9">
        <v>28.99</v>
      </c>
      <c r="M204" s="4" t="s">
        <v>2884</v>
      </c>
      <c r="N204" s="4" t="s">
        <v>2676</v>
      </c>
      <c r="O204" s="4" t="s">
        <v>2519</v>
      </c>
      <c r="P204" s="4" t="s">
        <v>2619</v>
      </c>
      <c r="Q204" s="4" t="s">
        <v>2568</v>
      </c>
      <c r="R204" s="4"/>
      <c r="S204" s="4"/>
      <c r="T204" s="4" t="str">
        <f>HYPERLINK("http://slimages.macys.com/is/image/MCY/19219363 ")</f>
        <v xml:space="preserve">http://slimages.macys.com/is/image/MCY/19219363 </v>
      </c>
    </row>
    <row r="205" spans="1:20" ht="15" customHeight="1" x14ac:dyDescent="0.25">
      <c r="A205" s="4" t="s">
        <v>2489</v>
      </c>
      <c r="B205" s="2" t="s">
        <v>2487</v>
      </c>
      <c r="C205" s="2" t="s">
        <v>2488</v>
      </c>
      <c r="D205" s="5" t="s">
        <v>2490</v>
      </c>
      <c r="E205" s="4" t="s">
        <v>2491</v>
      </c>
      <c r="F205" s="6">
        <v>14210606</v>
      </c>
      <c r="G205" s="3">
        <v>14210606</v>
      </c>
      <c r="H205" s="7">
        <v>194753365070</v>
      </c>
      <c r="I205" s="8" t="s">
        <v>252</v>
      </c>
      <c r="J205" s="4">
        <v>1</v>
      </c>
      <c r="K205" s="9">
        <v>39.5</v>
      </c>
      <c r="L205" s="9">
        <v>39.5</v>
      </c>
      <c r="M205" s="4" t="s">
        <v>253</v>
      </c>
      <c r="N205" s="4" t="s">
        <v>2505</v>
      </c>
      <c r="O205" s="4">
        <v>6</v>
      </c>
      <c r="P205" s="4" t="s">
        <v>2714</v>
      </c>
      <c r="Q205" s="4" t="s">
        <v>2715</v>
      </c>
      <c r="R205" s="4"/>
      <c r="S205" s="4"/>
      <c r="T205" s="4" t="str">
        <f>HYPERLINK("http://slimages.macys.com/is/image/MCY/18060250 ")</f>
        <v xml:space="preserve">http://slimages.macys.com/is/image/MCY/18060250 </v>
      </c>
    </row>
    <row r="206" spans="1:20" ht="15" customHeight="1" x14ac:dyDescent="0.25">
      <c r="A206" s="4" t="s">
        <v>2489</v>
      </c>
      <c r="B206" s="2" t="s">
        <v>2487</v>
      </c>
      <c r="C206" s="2" t="s">
        <v>2488</v>
      </c>
      <c r="D206" s="5" t="s">
        <v>2490</v>
      </c>
      <c r="E206" s="4" t="s">
        <v>2491</v>
      </c>
      <c r="F206" s="6">
        <v>14210606</v>
      </c>
      <c r="G206" s="3">
        <v>14210606</v>
      </c>
      <c r="H206" s="7">
        <v>194753365506</v>
      </c>
      <c r="I206" s="8" t="s">
        <v>254</v>
      </c>
      <c r="J206" s="4">
        <v>1</v>
      </c>
      <c r="K206" s="9">
        <v>39.5</v>
      </c>
      <c r="L206" s="9">
        <v>39.5</v>
      </c>
      <c r="M206" s="4" t="s">
        <v>255</v>
      </c>
      <c r="N206" s="4" t="s">
        <v>2505</v>
      </c>
      <c r="O206" s="4" t="s">
        <v>2705</v>
      </c>
      <c r="P206" s="4" t="s">
        <v>2714</v>
      </c>
      <c r="Q206" s="4" t="s">
        <v>2715</v>
      </c>
      <c r="R206" s="4"/>
      <c r="S206" s="4"/>
      <c r="T206" s="4" t="str">
        <f>HYPERLINK("http://slimages.macys.com/is/image/MCY/17785272 ")</f>
        <v xml:space="preserve">http://slimages.macys.com/is/image/MCY/17785272 </v>
      </c>
    </row>
    <row r="207" spans="1:20" ht="15" customHeight="1" x14ac:dyDescent="0.25">
      <c r="A207" s="4" t="s">
        <v>2489</v>
      </c>
      <c r="B207" s="2" t="s">
        <v>2487</v>
      </c>
      <c r="C207" s="2" t="s">
        <v>2488</v>
      </c>
      <c r="D207" s="5" t="s">
        <v>2490</v>
      </c>
      <c r="E207" s="4" t="s">
        <v>2491</v>
      </c>
      <c r="F207" s="6">
        <v>14210606</v>
      </c>
      <c r="G207" s="3">
        <v>14210606</v>
      </c>
      <c r="H207" s="7">
        <v>193654689773</v>
      </c>
      <c r="I207" s="8" t="s">
        <v>256</v>
      </c>
      <c r="J207" s="4">
        <v>1</v>
      </c>
      <c r="K207" s="9">
        <v>18.989999999999998</v>
      </c>
      <c r="L207" s="9">
        <v>18.989999999999998</v>
      </c>
      <c r="M207" s="4" t="s">
        <v>257</v>
      </c>
      <c r="N207" s="4" t="s">
        <v>2535</v>
      </c>
      <c r="O207" s="4" t="s">
        <v>2519</v>
      </c>
      <c r="P207" s="4" t="s">
        <v>2619</v>
      </c>
      <c r="Q207" s="4" t="s">
        <v>2568</v>
      </c>
      <c r="R207" s="4" t="s">
        <v>2552</v>
      </c>
      <c r="S207" s="4" t="s">
        <v>258</v>
      </c>
      <c r="T207" s="4" t="str">
        <f>HYPERLINK("http://slimages.macys.com/is/image/MCY/16610950 ")</f>
        <v xml:space="preserve">http://slimages.macys.com/is/image/MCY/16610950 </v>
      </c>
    </row>
    <row r="208" spans="1:20" ht="15" customHeight="1" x14ac:dyDescent="0.25">
      <c r="A208" s="4" t="s">
        <v>2489</v>
      </c>
      <c r="B208" s="2" t="s">
        <v>2487</v>
      </c>
      <c r="C208" s="2" t="s">
        <v>2488</v>
      </c>
      <c r="D208" s="5" t="s">
        <v>2490</v>
      </c>
      <c r="E208" s="4" t="s">
        <v>2491</v>
      </c>
      <c r="F208" s="6">
        <v>14210606</v>
      </c>
      <c r="G208" s="3">
        <v>14210606</v>
      </c>
      <c r="H208" s="7">
        <v>194870434550</v>
      </c>
      <c r="I208" s="8" t="s">
        <v>259</v>
      </c>
      <c r="J208" s="4">
        <v>1</v>
      </c>
      <c r="K208" s="9">
        <v>17.989999999999998</v>
      </c>
      <c r="L208" s="9">
        <v>17.989999999999998</v>
      </c>
      <c r="M208" s="4" t="s">
        <v>2918</v>
      </c>
      <c r="N208" s="4"/>
      <c r="O208" s="4" t="s">
        <v>2498</v>
      </c>
      <c r="P208" s="4" t="s">
        <v>2619</v>
      </c>
      <c r="Q208" s="4" t="s">
        <v>2681</v>
      </c>
      <c r="R208" s="4"/>
      <c r="S208" s="4"/>
      <c r="T208" s="4" t="str">
        <f>HYPERLINK("http://slimages.macys.com/is/image/MCY/19463799 ")</f>
        <v xml:space="preserve">http://slimages.macys.com/is/image/MCY/19463799 </v>
      </c>
    </row>
    <row r="209" spans="1:20" ht="15" customHeight="1" x14ac:dyDescent="0.25">
      <c r="A209" s="4" t="s">
        <v>2489</v>
      </c>
      <c r="B209" s="2" t="s">
        <v>2487</v>
      </c>
      <c r="C209" s="2" t="s">
        <v>2488</v>
      </c>
      <c r="D209" s="5" t="s">
        <v>2490</v>
      </c>
      <c r="E209" s="4" t="s">
        <v>2491</v>
      </c>
      <c r="F209" s="6">
        <v>14210606</v>
      </c>
      <c r="G209" s="3">
        <v>14210606</v>
      </c>
      <c r="H209" s="7">
        <v>733004290879</v>
      </c>
      <c r="I209" s="8" t="s">
        <v>260</v>
      </c>
      <c r="J209" s="4">
        <v>2</v>
      </c>
      <c r="K209" s="9">
        <v>7.99</v>
      </c>
      <c r="L209" s="9">
        <v>15.98</v>
      </c>
      <c r="M209" s="4" t="s">
        <v>261</v>
      </c>
      <c r="N209" s="4" t="s">
        <v>2518</v>
      </c>
      <c r="O209" s="4" t="s">
        <v>2650</v>
      </c>
      <c r="P209" s="4" t="s">
        <v>2503</v>
      </c>
      <c r="Q209" s="4" t="s">
        <v>2504</v>
      </c>
      <c r="R209" s="4"/>
      <c r="S209" s="4"/>
      <c r="T209" s="4" t="str">
        <f>HYPERLINK("http://slimages.macys.com/is/image/MCY/19746542 ")</f>
        <v xml:space="preserve">http://slimages.macys.com/is/image/MCY/19746542 </v>
      </c>
    </row>
    <row r="210" spans="1:20" ht="15" customHeight="1" x14ac:dyDescent="0.25">
      <c r="A210" s="4" t="s">
        <v>2489</v>
      </c>
      <c r="B210" s="2" t="s">
        <v>2487</v>
      </c>
      <c r="C210" s="2" t="s">
        <v>2488</v>
      </c>
      <c r="D210" s="5" t="s">
        <v>2490</v>
      </c>
      <c r="E210" s="4" t="s">
        <v>2491</v>
      </c>
      <c r="F210" s="6">
        <v>14210606</v>
      </c>
      <c r="G210" s="3">
        <v>14210606</v>
      </c>
      <c r="H210" s="7">
        <v>733004112560</v>
      </c>
      <c r="I210" s="8" t="s">
        <v>262</v>
      </c>
      <c r="J210" s="4">
        <v>1</v>
      </c>
      <c r="K210" s="9">
        <v>7.99</v>
      </c>
      <c r="L210" s="9">
        <v>7.99</v>
      </c>
      <c r="M210" s="4" t="s">
        <v>3143</v>
      </c>
      <c r="N210" s="4" t="s">
        <v>2497</v>
      </c>
      <c r="O210" s="4" t="s">
        <v>2629</v>
      </c>
      <c r="P210" s="4" t="s">
        <v>2520</v>
      </c>
      <c r="Q210" s="4" t="s">
        <v>2528</v>
      </c>
      <c r="R210" s="4"/>
      <c r="S210" s="4"/>
      <c r="T210" s="4" t="str">
        <f>HYPERLINK("http://slimages.macys.com/is/image/MCY/19844165 ")</f>
        <v xml:space="preserve">http://slimages.macys.com/is/image/MCY/19844165 </v>
      </c>
    </row>
    <row r="211" spans="1:20" ht="15" customHeight="1" x14ac:dyDescent="0.25">
      <c r="A211" s="4" t="s">
        <v>2489</v>
      </c>
      <c r="B211" s="2" t="s">
        <v>2487</v>
      </c>
      <c r="C211" s="2" t="s">
        <v>2488</v>
      </c>
      <c r="D211" s="5" t="s">
        <v>2490</v>
      </c>
      <c r="E211" s="4" t="s">
        <v>2491</v>
      </c>
      <c r="F211" s="6">
        <v>14210606</v>
      </c>
      <c r="G211" s="3">
        <v>14210606</v>
      </c>
      <c r="H211" s="7">
        <v>733004290350</v>
      </c>
      <c r="I211" s="8" t="s">
        <v>263</v>
      </c>
      <c r="J211" s="4">
        <v>3</v>
      </c>
      <c r="K211" s="9">
        <v>6.99</v>
      </c>
      <c r="L211" s="9">
        <v>20.97</v>
      </c>
      <c r="M211" s="4" t="s">
        <v>119</v>
      </c>
      <c r="N211" s="4" t="s">
        <v>2665</v>
      </c>
      <c r="O211" s="4" t="s">
        <v>2559</v>
      </c>
      <c r="P211" s="4" t="s">
        <v>2503</v>
      </c>
      <c r="Q211" s="4" t="s">
        <v>2504</v>
      </c>
      <c r="R211" s="4"/>
      <c r="S211" s="4"/>
      <c r="T211" s="4" t="str">
        <f>HYPERLINK("http://slimages.macys.com/is/image/MCY/19746503 ")</f>
        <v xml:space="preserve">http://slimages.macys.com/is/image/MCY/19746503 </v>
      </c>
    </row>
    <row r="212" spans="1:20" ht="15" customHeight="1" x14ac:dyDescent="0.25">
      <c r="A212" s="4" t="s">
        <v>2489</v>
      </c>
      <c r="B212" s="2" t="s">
        <v>2487</v>
      </c>
      <c r="C212" s="2" t="s">
        <v>2488</v>
      </c>
      <c r="D212" s="5" t="s">
        <v>2490</v>
      </c>
      <c r="E212" s="4" t="s">
        <v>2491</v>
      </c>
      <c r="F212" s="6">
        <v>14210606</v>
      </c>
      <c r="G212" s="3">
        <v>14210606</v>
      </c>
      <c r="H212" s="7">
        <v>733003621056</v>
      </c>
      <c r="I212" s="8" t="s">
        <v>264</v>
      </c>
      <c r="J212" s="4">
        <v>1</v>
      </c>
      <c r="K212" s="9">
        <v>7.99</v>
      </c>
      <c r="L212" s="9">
        <v>7.99</v>
      </c>
      <c r="M212" s="4" t="s">
        <v>265</v>
      </c>
      <c r="N212" s="4" t="s">
        <v>2505</v>
      </c>
      <c r="O212" s="4" t="s">
        <v>2650</v>
      </c>
      <c r="P212" s="4" t="s">
        <v>2503</v>
      </c>
      <c r="Q212" s="4" t="s">
        <v>2504</v>
      </c>
      <c r="R212" s="4"/>
      <c r="S212" s="4"/>
      <c r="T212" s="4" t="str">
        <f>HYPERLINK("http://slimages.macys.com/is/image/MCY/876675 ")</f>
        <v xml:space="preserve">http://slimages.macys.com/is/image/MCY/876675 </v>
      </c>
    </row>
    <row r="213" spans="1:20" ht="15" customHeight="1" x14ac:dyDescent="0.25">
      <c r="A213" s="4" t="s">
        <v>2489</v>
      </c>
      <c r="B213" s="2" t="s">
        <v>2487</v>
      </c>
      <c r="C213" s="2" t="s">
        <v>2488</v>
      </c>
      <c r="D213" s="5" t="s">
        <v>2490</v>
      </c>
      <c r="E213" s="4" t="s">
        <v>2491</v>
      </c>
      <c r="F213" s="6">
        <v>14210606</v>
      </c>
      <c r="G213" s="3">
        <v>14210606</v>
      </c>
      <c r="H213" s="7">
        <v>733003925789</v>
      </c>
      <c r="I213" s="8" t="s">
        <v>1375</v>
      </c>
      <c r="J213" s="4">
        <v>1</v>
      </c>
      <c r="K213" s="9">
        <v>6.99</v>
      </c>
      <c r="L213" s="9">
        <v>6.99</v>
      </c>
      <c r="M213" s="4" t="s">
        <v>2558</v>
      </c>
      <c r="N213" s="4" t="s">
        <v>2638</v>
      </c>
      <c r="O213" s="4" t="s">
        <v>2601</v>
      </c>
      <c r="P213" s="4" t="s">
        <v>2503</v>
      </c>
      <c r="Q213" s="4" t="s">
        <v>2504</v>
      </c>
      <c r="R213" s="4"/>
      <c r="S213" s="4"/>
      <c r="T213" s="4" t="str">
        <f>HYPERLINK("http://slimages.macys.com/is/image/MCY/19762874 ")</f>
        <v xml:space="preserve">http://slimages.macys.com/is/image/MCY/19762874 </v>
      </c>
    </row>
    <row r="214" spans="1:20" ht="15" customHeight="1" x14ac:dyDescent="0.25">
      <c r="A214" s="4" t="s">
        <v>2489</v>
      </c>
      <c r="B214" s="2" t="s">
        <v>2487</v>
      </c>
      <c r="C214" s="2" t="s">
        <v>2488</v>
      </c>
      <c r="D214" s="5" t="s">
        <v>2490</v>
      </c>
      <c r="E214" s="4" t="s">
        <v>2491</v>
      </c>
      <c r="F214" s="6">
        <v>14210606</v>
      </c>
      <c r="G214" s="3">
        <v>14210606</v>
      </c>
      <c r="H214" s="7">
        <v>196027071977</v>
      </c>
      <c r="I214" s="8" t="s">
        <v>266</v>
      </c>
      <c r="J214" s="4">
        <v>1</v>
      </c>
      <c r="K214" s="9">
        <v>17.989999999999998</v>
      </c>
      <c r="L214" s="9">
        <v>17.989999999999998</v>
      </c>
      <c r="M214" s="4" t="s">
        <v>2243</v>
      </c>
      <c r="N214" s="4" t="s">
        <v>2544</v>
      </c>
      <c r="O214" s="4" t="s">
        <v>2587</v>
      </c>
      <c r="P214" s="4" t="s">
        <v>2569</v>
      </c>
      <c r="Q214" s="4" t="s">
        <v>2570</v>
      </c>
      <c r="R214" s="4"/>
      <c r="S214" s="4"/>
      <c r="T214" s="4" t="str">
        <f>HYPERLINK("http://slimages.macys.com/is/image/MCY/20583422 ")</f>
        <v xml:space="preserve">http://slimages.macys.com/is/image/MCY/20583422 </v>
      </c>
    </row>
    <row r="215" spans="1:20" ht="15" customHeight="1" x14ac:dyDescent="0.25">
      <c r="A215" s="4" t="s">
        <v>2489</v>
      </c>
      <c r="B215" s="2" t="s">
        <v>2487</v>
      </c>
      <c r="C215" s="2" t="s">
        <v>2488</v>
      </c>
      <c r="D215" s="5" t="s">
        <v>2490</v>
      </c>
      <c r="E215" s="4" t="s">
        <v>2491</v>
      </c>
      <c r="F215" s="6">
        <v>14210606</v>
      </c>
      <c r="G215" s="3">
        <v>14210606</v>
      </c>
      <c r="H215" s="7">
        <v>194257539762</v>
      </c>
      <c r="I215" s="8" t="s">
        <v>1911</v>
      </c>
      <c r="J215" s="4">
        <v>1</v>
      </c>
      <c r="K215" s="9">
        <v>16.25</v>
      </c>
      <c r="L215" s="9">
        <v>16.25</v>
      </c>
      <c r="M215" s="4" t="s">
        <v>1912</v>
      </c>
      <c r="N215" s="4" t="s">
        <v>2514</v>
      </c>
      <c r="O215" s="4" t="s">
        <v>2498</v>
      </c>
      <c r="P215" s="4" t="s">
        <v>2619</v>
      </c>
      <c r="Q215" s="4" t="s">
        <v>2500</v>
      </c>
      <c r="R215" s="4"/>
      <c r="S215" s="4"/>
      <c r="T215" s="4" t="str">
        <f>HYPERLINK("http://slimages.macys.com/is/image/MCY/17602101 ")</f>
        <v xml:space="preserve">http://slimages.macys.com/is/image/MCY/17602101 </v>
      </c>
    </row>
    <row r="216" spans="1:20" ht="15" customHeight="1" x14ac:dyDescent="0.25">
      <c r="A216" s="4" t="s">
        <v>2489</v>
      </c>
      <c r="B216" s="2" t="s">
        <v>2487</v>
      </c>
      <c r="C216" s="2" t="s">
        <v>2488</v>
      </c>
      <c r="D216" s="5" t="s">
        <v>2490</v>
      </c>
      <c r="E216" s="4" t="s">
        <v>2491</v>
      </c>
      <c r="F216" s="6">
        <v>14210606</v>
      </c>
      <c r="G216" s="3">
        <v>14210606</v>
      </c>
      <c r="H216" s="7">
        <v>195883642000</v>
      </c>
      <c r="I216" s="8" t="s">
        <v>267</v>
      </c>
      <c r="J216" s="4">
        <v>1</v>
      </c>
      <c r="K216" s="9">
        <v>7.99</v>
      </c>
      <c r="L216" s="9">
        <v>7.99</v>
      </c>
      <c r="M216" s="4" t="s">
        <v>1834</v>
      </c>
      <c r="N216" s="4" t="s">
        <v>2505</v>
      </c>
      <c r="O216" s="4">
        <v>7</v>
      </c>
      <c r="P216" s="4" t="s">
        <v>2506</v>
      </c>
      <c r="Q216" s="4" t="s">
        <v>2527</v>
      </c>
      <c r="R216" s="4"/>
      <c r="S216" s="4"/>
      <c r="T216" s="4" t="str">
        <f>HYPERLINK("http://slimages.macys.com/is/image/MCY/20726206 ")</f>
        <v xml:space="preserve">http://slimages.macys.com/is/image/MCY/20726206 </v>
      </c>
    </row>
    <row r="217" spans="1:20" ht="15" customHeight="1" x14ac:dyDescent="0.25">
      <c r="A217" s="4" t="s">
        <v>2489</v>
      </c>
      <c r="B217" s="2" t="s">
        <v>2487</v>
      </c>
      <c r="C217" s="2" t="s">
        <v>2488</v>
      </c>
      <c r="D217" s="5" t="s">
        <v>2490</v>
      </c>
      <c r="E217" s="4" t="s">
        <v>2491</v>
      </c>
      <c r="F217" s="6">
        <v>14210606</v>
      </c>
      <c r="G217" s="3">
        <v>14210606</v>
      </c>
      <c r="H217" s="7">
        <v>195883942179</v>
      </c>
      <c r="I217" s="8" t="s">
        <v>3171</v>
      </c>
      <c r="J217" s="4">
        <v>1</v>
      </c>
      <c r="K217" s="9">
        <v>7.99</v>
      </c>
      <c r="L217" s="9">
        <v>7.99</v>
      </c>
      <c r="M217" s="4" t="s">
        <v>3105</v>
      </c>
      <c r="N217" s="4" t="s">
        <v>2497</v>
      </c>
      <c r="O217" s="4">
        <v>4</v>
      </c>
      <c r="P217" s="4" t="s">
        <v>2506</v>
      </c>
      <c r="Q217" s="4" t="s">
        <v>2527</v>
      </c>
      <c r="R217" s="4"/>
      <c r="S217" s="4"/>
      <c r="T217" s="4" t="str">
        <f>HYPERLINK("http://slimages.macys.com/is/image/MCY/20726224 ")</f>
        <v xml:space="preserve">http://slimages.macys.com/is/image/MCY/20726224 </v>
      </c>
    </row>
    <row r="218" spans="1:20" ht="15" customHeight="1" x14ac:dyDescent="0.25">
      <c r="A218" s="4" t="s">
        <v>2489</v>
      </c>
      <c r="B218" s="2" t="s">
        <v>2487</v>
      </c>
      <c r="C218" s="2" t="s">
        <v>2488</v>
      </c>
      <c r="D218" s="5" t="s">
        <v>2490</v>
      </c>
      <c r="E218" s="4" t="s">
        <v>2491</v>
      </c>
      <c r="F218" s="6">
        <v>14210606</v>
      </c>
      <c r="G218" s="3">
        <v>14210606</v>
      </c>
      <c r="H218" s="7">
        <v>195438269959</v>
      </c>
      <c r="I218" s="8" t="s">
        <v>268</v>
      </c>
      <c r="J218" s="4">
        <v>1</v>
      </c>
      <c r="K218" s="9">
        <v>85</v>
      </c>
      <c r="L218" s="9">
        <v>85</v>
      </c>
      <c r="M218" s="4" t="s">
        <v>269</v>
      </c>
      <c r="N218" s="4" t="s">
        <v>2497</v>
      </c>
      <c r="O218" s="4"/>
      <c r="P218" s="4" t="s">
        <v>2550</v>
      </c>
      <c r="Q218" s="4" t="s">
        <v>3013</v>
      </c>
      <c r="R218" s="4"/>
      <c r="S218" s="4"/>
      <c r="T218" s="4" t="str">
        <f>HYPERLINK("http://slimages.macys.com/is/image/MCY/20092666 ")</f>
        <v xml:space="preserve">http://slimages.macys.com/is/image/MCY/20092666 </v>
      </c>
    </row>
    <row r="219" spans="1:20" ht="15" customHeight="1" x14ac:dyDescent="0.25">
      <c r="A219" s="4" t="s">
        <v>2489</v>
      </c>
      <c r="B219" s="2" t="s">
        <v>2487</v>
      </c>
      <c r="C219" s="2" t="s">
        <v>2488</v>
      </c>
      <c r="D219" s="5" t="s">
        <v>2490</v>
      </c>
      <c r="E219" s="4" t="s">
        <v>2491</v>
      </c>
      <c r="F219" s="6">
        <v>14210606</v>
      </c>
      <c r="G219" s="3">
        <v>14210606</v>
      </c>
      <c r="H219" s="7">
        <v>195187374942</v>
      </c>
      <c r="I219" s="8" t="s">
        <v>270</v>
      </c>
      <c r="J219" s="4">
        <v>1</v>
      </c>
      <c r="K219" s="9">
        <v>20.99</v>
      </c>
      <c r="L219" s="9">
        <v>20.99</v>
      </c>
      <c r="M219" s="4" t="s">
        <v>271</v>
      </c>
      <c r="N219" s="4" t="s">
        <v>2501</v>
      </c>
      <c r="O219" s="4" t="s">
        <v>2519</v>
      </c>
      <c r="P219" s="4" t="s">
        <v>2536</v>
      </c>
      <c r="Q219" s="4" t="s">
        <v>2981</v>
      </c>
      <c r="R219" s="4"/>
      <c r="S219" s="4"/>
      <c r="T219" s="4" t="str">
        <f>HYPERLINK("http://slimages.macys.com/is/image/MCY/20127722 ")</f>
        <v xml:space="preserve">http://slimages.macys.com/is/image/MCY/20127722 </v>
      </c>
    </row>
    <row r="220" spans="1:20" ht="15" customHeight="1" x14ac:dyDescent="0.25">
      <c r="A220" s="4" t="s">
        <v>2489</v>
      </c>
      <c r="B220" s="2" t="s">
        <v>2487</v>
      </c>
      <c r="C220" s="2" t="s">
        <v>2488</v>
      </c>
      <c r="D220" s="5" t="s">
        <v>2490</v>
      </c>
      <c r="E220" s="4" t="s">
        <v>2491</v>
      </c>
      <c r="F220" s="6">
        <v>14210606</v>
      </c>
      <c r="G220" s="3">
        <v>14210606</v>
      </c>
      <c r="H220" s="7">
        <v>9328091950</v>
      </c>
      <c r="I220" s="8" t="s">
        <v>272</v>
      </c>
      <c r="J220" s="4">
        <v>1</v>
      </c>
      <c r="K220" s="9">
        <v>18.989999999999998</v>
      </c>
      <c r="L220" s="9">
        <v>18.989999999999998</v>
      </c>
      <c r="M220" s="4" t="s">
        <v>3310</v>
      </c>
      <c r="N220" s="4" t="s">
        <v>2535</v>
      </c>
      <c r="O220" s="4"/>
      <c r="P220" s="4" t="s">
        <v>2539</v>
      </c>
      <c r="Q220" s="4" t="s">
        <v>2733</v>
      </c>
      <c r="R220" s="4" t="s">
        <v>2552</v>
      </c>
      <c r="S220" s="4" t="s">
        <v>3385</v>
      </c>
      <c r="T220" s="4" t="str">
        <f>HYPERLINK("http://slimages.macys.com/is/image/MCY/8733345 ")</f>
        <v xml:space="preserve">http://slimages.macys.com/is/image/MCY/8733345 </v>
      </c>
    </row>
    <row r="221" spans="1:20" ht="15" customHeight="1" x14ac:dyDescent="0.25">
      <c r="A221" s="4" t="s">
        <v>2489</v>
      </c>
      <c r="B221" s="2" t="s">
        <v>2487</v>
      </c>
      <c r="C221" s="2" t="s">
        <v>2488</v>
      </c>
      <c r="D221" s="5" t="s">
        <v>2490</v>
      </c>
      <c r="E221" s="4" t="s">
        <v>2491</v>
      </c>
      <c r="F221" s="6">
        <v>14210606</v>
      </c>
      <c r="G221" s="3">
        <v>14210606</v>
      </c>
      <c r="H221" s="7">
        <v>80538129749</v>
      </c>
      <c r="I221" s="8" t="s">
        <v>273</v>
      </c>
      <c r="J221" s="4">
        <v>2</v>
      </c>
      <c r="K221" s="9">
        <v>7.99</v>
      </c>
      <c r="L221" s="9">
        <v>15.98</v>
      </c>
      <c r="M221" s="4">
        <v>64830</v>
      </c>
      <c r="N221" s="4" t="s">
        <v>2501</v>
      </c>
      <c r="O221" s="4"/>
      <c r="P221" s="4" t="s">
        <v>2666</v>
      </c>
      <c r="Q221" s="4" t="s">
        <v>2778</v>
      </c>
      <c r="R221" s="4"/>
      <c r="S221" s="4"/>
      <c r="T221" s="4" t="str">
        <f>HYPERLINK("http://slimages.macys.com/is/image/MCY/20052309 ")</f>
        <v xml:space="preserve">http://slimages.macys.com/is/image/MCY/20052309 </v>
      </c>
    </row>
    <row r="222" spans="1:20" ht="15" customHeight="1" x14ac:dyDescent="0.25">
      <c r="A222" s="4" t="s">
        <v>2489</v>
      </c>
      <c r="B222" s="2" t="s">
        <v>2487</v>
      </c>
      <c r="C222" s="2" t="s">
        <v>2488</v>
      </c>
      <c r="D222" s="5" t="s">
        <v>2490</v>
      </c>
      <c r="E222" s="4" t="s">
        <v>2491</v>
      </c>
      <c r="F222" s="6">
        <v>14210606</v>
      </c>
      <c r="G222" s="3">
        <v>14210606</v>
      </c>
      <c r="H222" s="7">
        <v>696114431627</v>
      </c>
      <c r="I222" s="8" t="s">
        <v>2116</v>
      </c>
      <c r="J222" s="4">
        <v>1</v>
      </c>
      <c r="K222" s="9">
        <v>19.989999999999998</v>
      </c>
      <c r="L222" s="9">
        <v>19.989999999999998</v>
      </c>
      <c r="M222" s="4" t="s">
        <v>3022</v>
      </c>
      <c r="N222" s="4" t="s">
        <v>2548</v>
      </c>
      <c r="O222" s="4" t="s">
        <v>2817</v>
      </c>
      <c r="P222" s="4" t="s">
        <v>2569</v>
      </c>
      <c r="Q222" s="4" t="s">
        <v>2679</v>
      </c>
      <c r="R222" s="4"/>
      <c r="S222" s="4"/>
      <c r="T222" s="4" t="str">
        <f>HYPERLINK("http://slimages.macys.com/is/image/MCY/20426372 ")</f>
        <v xml:space="preserve">http://slimages.macys.com/is/image/MCY/20426372 </v>
      </c>
    </row>
    <row r="223" spans="1:20" ht="15" customHeight="1" x14ac:dyDescent="0.25">
      <c r="A223" s="4" t="s">
        <v>2489</v>
      </c>
      <c r="B223" s="2" t="s">
        <v>2487</v>
      </c>
      <c r="C223" s="2" t="s">
        <v>2488</v>
      </c>
      <c r="D223" s="5" t="s">
        <v>2490</v>
      </c>
      <c r="E223" s="4" t="s">
        <v>2491</v>
      </c>
      <c r="F223" s="6">
        <v>14210606</v>
      </c>
      <c r="G223" s="3">
        <v>14210606</v>
      </c>
      <c r="H223" s="7">
        <v>194135452756</v>
      </c>
      <c r="I223" s="8" t="s">
        <v>274</v>
      </c>
      <c r="J223" s="4">
        <v>6</v>
      </c>
      <c r="K223" s="9">
        <v>14.57</v>
      </c>
      <c r="L223" s="9">
        <v>87.42</v>
      </c>
      <c r="M223" s="4" t="s">
        <v>3300</v>
      </c>
      <c r="N223" s="4"/>
      <c r="O223" s="4"/>
      <c r="P223" s="4" t="s">
        <v>2657</v>
      </c>
      <c r="Q223" s="4" t="s">
        <v>2658</v>
      </c>
      <c r="R223" s="4"/>
      <c r="S223" s="4"/>
      <c r="T223" s="4" t="str">
        <f>HYPERLINK("http://slimages.macys.com/is/image/MCY/19944640 ")</f>
        <v xml:space="preserve">http://slimages.macys.com/is/image/MCY/19944640 </v>
      </c>
    </row>
    <row r="224" spans="1:20" ht="15" customHeight="1" x14ac:dyDescent="0.25">
      <c r="A224" s="4" t="s">
        <v>2489</v>
      </c>
      <c r="B224" s="2" t="s">
        <v>2487</v>
      </c>
      <c r="C224" s="2" t="s">
        <v>2488</v>
      </c>
      <c r="D224" s="5" t="s">
        <v>2490</v>
      </c>
      <c r="E224" s="4" t="s">
        <v>2491</v>
      </c>
      <c r="F224" s="6">
        <v>14210606</v>
      </c>
      <c r="G224" s="3">
        <v>14210606</v>
      </c>
      <c r="H224" s="7">
        <v>733004806612</v>
      </c>
      <c r="I224" s="8" t="s">
        <v>275</v>
      </c>
      <c r="J224" s="4">
        <v>1</v>
      </c>
      <c r="K224" s="9">
        <v>49.5</v>
      </c>
      <c r="L224" s="9">
        <v>49.5</v>
      </c>
      <c r="M224" s="4">
        <v>100134828</v>
      </c>
      <c r="N224" s="4" t="s">
        <v>2501</v>
      </c>
      <c r="O224" s="4" t="s">
        <v>3370</v>
      </c>
      <c r="P224" s="4" t="s">
        <v>2510</v>
      </c>
      <c r="Q224" s="4" t="s">
        <v>2943</v>
      </c>
      <c r="R224" s="4"/>
      <c r="S224" s="4"/>
      <c r="T224" s="4" t="str">
        <f>HYPERLINK("http://slimages.macys.com/is/image/MCY/20467726 ")</f>
        <v xml:space="preserve">http://slimages.macys.com/is/image/MCY/20467726 </v>
      </c>
    </row>
    <row r="225" spans="1:20" ht="15" customHeight="1" x14ac:dyDescent="0.25">
      <c r="A225" s="4" t="s">
        <v>2489</v>
      </c>
      <c r="B225" s="2" t="s">
        <v>2487</v>
      </c>
      <c r="C225" s="2" t="s">
        <v>2488</v>
      </c>
      <c r="D225" s="5" t="s">
        <v>2490</v>
      </c>
      <c r="E225" s="4" t="s">
        <v>2491</v>
      </c>
      <c r="F225" s="6">
        <v>14210606</v>
      </c>
      <c r="G225" s="3">
        <v>14210606</v>
      </c>
      <c r="H225" s="7">
        <v>888509613583</v>
      </c>
      <c r="I225" s="8" t="s">
        <v>517</v>
      </c>
      <c r="J225" s="4">
        <v>1</v>
      </c>
      <c r="K225" s="9">
        <v>50</v>
      </c>
      <c r="L225" s="9">
        <v>50</v>
      </c>
      <c r="M225" s="4" t="s">
        <v>518</v>
      </c>
      <c r="N225" s="4" t="s">
        <v>2548</v>
      </c>
      <c r="O225" s="4" t="s">
        <v>2509</v>
      </c>
      <c r="P225" s="4" t="s">
        <v>2510</v>
      </c>
      <c r="Q225" s="4" t="s">
        <v>2700</v>
      </c>
      <c r="R225" s="4" t="s">
        <v>2770</v>
      </c>
      <c r="S225" s="4" t="s">
        <v>519</v>
      </c>
      <c r="T225" s="4" t="str">
        <f>HYPERLINK("http://images.bloomingdales.com/is/image/BLM/10004631 ")</f>
        <v xml:space="preserve">http://images.bloomingdales.com/is/image/BLM/10004631 </v>
      </c>
    </row>
    <row r="226" spans="1:20" ht="15" customHeight="1" x14ac:dyDescent="0.25">
      <c r="A226" s="4" t="s">
        <v>2489</v>
      </c>
      <c r="B226" s="2" t="s">
        <v>2487</v>
      </c>
      <c r="C226" s="2" t="s">
        <v>2488</v>
      </c>
      <c r="D226" s="5" t="s">
        <v>2490</v>
      </c>
      <c r="E226" s="4" t="s">
        <v>2491</v>
      </c>
      <c r="F226" s="6">
        <v>14210606</v>
      </c>
      <c r="G226" s="3">
        <v>14210606</v>
      </c>
      <c r="H226" s="7">
        <v>194257394668</v>
      </c>
      <c r="I226" s="8" t="s">
        <v>276</v>
      </c>
      <c r="J226" s="4">
        <v>1</v>
      </c>
      <c r="K226" s="9">
        <v>9.99</v>
      </c>
      <c r="L226" s="9">
        <v>9.99</v>
      </c>
      <c r="M226" s="4" t="s">
        <v>91</v>
      </c>
      <c r="N226" s="4" t="s">
        <v>2501</v>
      </c>
      <c r="O226" s="4" t="s">
        <v>2524</v>
      </c>
      <c r="P226" s="4" t="s">
        <v>2499</v>
      </c>
      <c r="Q226" s="4" t="s">
        <v>2525</v>
      </c>
      <c r="R226" s="4"/>
      <c r="S226" s="4"/>
      <c r="T226" s="4" t="str">
        <f>HYPERLINK("http://slimages.macys.com/is/image/MCY/20012391 ")</f>
        <v xml:space="preserve">http://slimages.macys.com/is/image/MCY/20012391 </v>
      </c>
    </row>
    <row r="227" spans="1:20" ht="15" customHeight="1" x14ac:dyDescent="0.25">
      <c r="A227" s="4" t="s">
        <v>2489</v>
      </c>
      <c r="B227" s="2" t="s">
        <v>2487</v>
      </c>
      <c r="C227" s="2" t="s">
        <v>2488</v>
      </c>
      <c r="D227" s="5" t="s">
        <v>2490</v>
      </c>
      <c r="E227" s="4" t="s">
        <v>2491</v>
      </c>
      <c r="F227" s="6">
        <v>14210606</v>
      </c>
      <c r="G227" s="3">
        <v>14210606</v>
      </c>
      <c r="H227" s="7">
        <v>762120085755</v>
      </c>
      <c r="I227" s="8" t="s">
        <v>3411</v>
      </c>
      <c r="J227" s="4">
        <v>2</v>
      </c>
      <c r="K227" s="9">
        <v>7.99</v>
      </c>
      <c r="L227" s="9">
        <v>15.98</v>
      </c>
      <c r="M227" s="4" t="s">
        <v>3389</v>
      </c>
      <c r="N227" s="4" t="s">
        <v>2565</v>
      </c>
      <c r="O227" s="4" t="s">
        <v>2653</v>
      </c>
      <c r="P227" s="4" t="s">
        <v>2602</v>
      </c>
      <c r="Q227" s="4" t="s">
        <v>2528</v>
      </c>
      <c r="R227" s="4"/>
      <c r="S227" s="4"/>
      <c r="T227" s="4" t="str">
        <f>HYPERLINK("http://slimages.macys.com/is/image/MCY/20691817 ")</f>
        <v xml:space="preserve">http://slimages.macys.com/is/image/MCY/20691817 </v>
      </c>
    </row>
    <row r="228" spans="1:20" ht="15" customHeight="1" x14ac:dyDescent="0.25">
      <c r="A228" s="4" t="s">
        <v>2489</v>
      </c>
      <c r="B228" s="2" t="s">
        <v>2487</v>
      </c>
      <c r="C228" s="2" t="s">
        <v>2488</v>
      </c>
      <c r="D228" s="5" t="s">
        <v>2490</v>
      </c>
      <c r="E228" s="4" t="s">
        <v>2491</v>
      </c>
      <c r="F228" s="6">
        <v>14210606</v>
      </c>
      <c r="G228" s="3">
        <v>14210606</v>
      </c>
      <c r="H228" s="7">
        <v>733004739743</v>
      </c>
      <c r="I228" s="8" t="s">
        <v>277</v>
      </c>
      <c r="J228" s="4">
        <v>1</v>
      </c>
      <c r="K228" s="9">
        <v>6.99</v>
      </c>
      <c r="L228" s="9">
        <v>6.99</v>
      </c>
      <c r="M228" s="4" t="s">
        <v>1985</v>
      </c>
      <c r="N228" s="4" t="s">
        <v>2531</v>
      </c>
      <c r="O228" s="4" t="s">
        <v>2559</v>
      </c>
      <c r="P228" s="4" t="s">
        <v>2503</v>
      </c>
      <c r="Q228" s="4" t="s">
        <v>2504</v>
      </c>
      <c r="R228" s="4"/>
      <c r="S228" s="4"/>
      <c r="T228" s="4" t="str">
        <f>HYPERLINK("http://slimages.macys.com/is/image/MCY/20466473 ")</f>
        <v xml:space="preserve">http://slimages.macys.com/is/image/MCY/20466473 </v>
      </c>
    </row>
    <row r="229" spans="1:20" ht="15" customHeight="1" x14ac:dyDescent="0.25">
      <c r="A229" s="4" t="s">
        <v>2489</v>
      </c>
      <c r="B229" s="2" t="s">
        <v>2487</v>
      </c>
      <c r="C229" s="2" t="s">
        <v>2488</v>
      </c>
      <c r="D229" s="5" t="s">
        <v>2490</v>
      </c>
      <c r="E229" s="4" t="s">
        <v>2491</v>
      </c>
      <c r="F229" s="6">
        <v>14210606</v>
      </c>
      <c r="G229" s="3">
        <v>14210606</v>
      </c>
      <c r="H229" s="7">
        <v>762120077125</v>
      </c>
      <c r="I229" s="8" t="s">
        <v>3170</v>
      </c>
      <c r="J229" s="4">
        <v>2</v>
      </c>
      <c r="K229" s="9">
        <v>7.99</v>
      </c>
      <c r="L229" s="9">
        <v>15.98</v>
      </c>
      <c r="M229" s="4" t="s">
        <v>3130</v>
      </c>
      <c r="N229" s="4" t="s">
        <v>2567</v>
      </c>
      <c r="O229" s="4" t="s">
        <v>2650</v>
      </c>
      <c r="P229" s="4" t="s">
        <v>2520</v>
      </c>
      <c r="Q229" s="4" t="s">
        <v>2528</v>
      </c>
      <c r="R229" s="4"/>
      <c r="S229" s="4"/>
      <c r="T229" s="4" t="str">
        <f>HYPERLINK("http://slimages.macys.com/is/image/MCY/1064552 ")</f>
        <v xml:space="preserve">http://slimages.macys.com/is/image/MCY/1064552 </v>
      </c>
    </row>
    <row r="230" spans="1:20" ht="15" customHeight="1" x14ac:dyDescent="0.25">
      <c r="A230" s="4" t="s">
        <v>2489</v>
      </c>
      <c r="B230" s="2" t="s">
        <v>2487</v>
      </c>
      <c r="C230" s="2" t="s">
        <v>2488</v>
      </c>
      <c r="D230" s="5" t="s">
        <v>2490</v>
      </c>
      <c r="E230" s="4" t="s">
        <v>2491</v>
      </c>
      <c r="F230" s="6">
        <v>14210606</v>
      </c>
      <c r="G230" s="3">
        <v>14210606</v>
      </c>
      <c r="H230" s="7">
        <v>733004738340</v>
      </c>
      <c r="I230" s="8" t="s">
        <v>2782</v>
      </c>
      <c r="J230" s="4">
        <v>3</v>
      </c>
      <c r="K230" s="9">
        <v>6.99</v>
      </c>
      <c r="L230" s="9">
        <v>20.97</v>
      </c>
      <c r="M230" s="4" t="s">
        <v>2783</v>
      </c>
      <c r="N230" s="4" t="s">
        <v>2501</v>
      </c>
      <c r="O230" s="4" t="s">
        <v>2502</v>
      </c>
      <c r="P230" s="4" t="s">
        <v>2503</v>
      </c>
      <c r="Q230" s="4" t="s">
        <v>2504</v>
      </c>
      <c r="R230" s="4"/>
      <c r="S230" s="4"/>
      <c r="T230" s="4" t="str">
        <f>HYPERLINK("http://slimages.macys.com/is/image/MCY/19977723 ")</f>
        <v xml:space="preserve">http://slimages.macys.com/is/image/MCY/19977723 </v>
      </c>
    </row>
    <row r="231" spans="1:20" ht="15" customHeight="1" x14ac:dyDescent="0.25">
      <c r="A231" s="4" t="s">
        <v>2489</v>
      </c>
      <c r="B231" s="2" t="s">
        <v>2487</v>
      </c>
      <c r="C231" s="2" t="s">
        <v>2488</v>
      </c>
      <c r="D231" s="5" t="s">
        <v>2490</v>
      </c>
      <c r="E231" s="4" t="s">
        <v>2491</v>
      </c>
      <c r="F231" s="6">
        <v>14210606</v>
      </c>
      <c r="G231" s="3">
        <v>14210606</v>
      </c>
      <c r="H231" s="7">
        <v>762120023214</v>
      </c>
      <c r="I231" s="8" t="s">
        <v>2020</v>
      </c>
      <c r="J231" s="4">
        <v>1</v>
      </c>
      <c r="K231" s="9">
        <v>6.99</v>
      </c>
      <c r="L231" s="9">
        <v>6.99</v>
      </c>
      <c r="M231" s="4" t="s">
        <v>1905</v>
      </c>
      <c r="N231" s="4" t="s">
        <v>2518</v>
      </c>
      <c r="O231" s="4" t="s">
        <v>2566</v>
      </c>
      <c r="P231" s="4" t="s">
        <v>2503</v>
      </c>
      <c r="Q231" s="4" t="s">
        <v>2504</v>
      </c>
      <c r="R231" s="4"/>
      <c r="S231" s="4"/>
      <c r="T231" s="4" t="str">
        <f>HYPERLINK("http://slimages.macys.com/is/image/MCY/19977832 ")</f>
        <v xml:space="preserve">http://slimages.macys.com/is/image/MCY/19977832 </v>
      </c>
    </row>
    <row r="232" spans="1:20" ht="15" customHeight="1" x14ac:dyDescent="0.25">
      <c r="A232" s="4" t="s">
        <v>2489</v>
      </c>
      <c r="B232" s="2" t="s">
        <v>2487</v>
      </c>
      <c r="C232" s="2" t="s">
        <v>2488</v>
      </c>
      <c r="D232" s="5" t="s">
        <v>2490</v>
      </c>
      <c r="E232" s="4" t="s">
        <v>2491</v>
      </c>
      <c r="F232" s="6">
        <v>14210606</v>
      </c>
      <c r="G232" s="3">
        <v>14210606</v>
      </c>
      <c r="H232" s="7">
        <v>733004740268</v>
      </c>
      <c r="I232" s="8" t="s">
        <v>278</v>
      </c>
      <c r="J232" s="4">
        <v>1</v>
      </c>
      <c r="K232" s="9">
        <v>5.99</v>
      </c>
      <c r="L232" s="9">
        <v>5.99</v>
      </c>
      <c r="M232" s="4" t="s">
        <v>3357</v>
      </c>
      <c r="N232" s="4" t="s">
        <v>2501</v>
      </c>
      <c r="O232" s="4" t="s">
        <v>2502</v>
      </c>
      <c r="P232" s="4" t="s">
        <v>2503</v>
      </c>
      <c r="Q232" s="4" t="s">
        <v>2504</v>
      </c>
      <c r="R232" s="4"/>
      <c r="S232" s="4"/>
      <c r="T232" s="4" t="str">
        <f>HYPERLINK("http://slimages.macys.com/is/image/MCY/19977819 ")</f>
        <v xml:space="preserve">http://slimages.macys.com/is/image/MCY/19977819 </v>
      </c>
    </row>
    <row r="233" spans="1:20" ht="15" customHeight="1" x14ac:dyDescent="0.25">
      <c r="A233" s="4" t="s">
        <v>2489</v>
      </c>
      <c r="B233" s="2" t="s">
        <v>2487</v>
      </c>
      <c r="C233" s="2" t="s">
        <v>2488</v>
      </c>
      <c r="D233" s="5" t="s">
        <v>2490</v>
      </c>
      <c r="E233" s="4" t="s">
        <v>2491</v>
      </c>
      <c r="F233" s="6">
        <v>14210606</v>
      </c>
      <c r="G233" s="3">
        <v>14210606</v>
      </c>
      <c r="H233" s="7">
        <v>193654708184</v>
      </c>
      <c r="I233" s="8" t="s">
        <v>279</v>
      </c>
      <c r="J233" s="4">
        <v>1</v>
      </c>
      <c r="K233" s="9">
        <v>27.99</v>
      </c>
      <c r="L233" s="9">
        <v>27.99</v>
      </c>
      <c r="M233" s="4" t="s">
        <v>280</v>
      </c>
      <c r="N233" s="4" t="s">
        <v>2535</v>
      </c>
      <c r="O233" s="4" t="s">
        <v>2555</v>
      </c>
      <c r="P233" s="4" t="s">
        <v>2499</v>
      </c>
      <c r="Q233" s="4" t="s">
        <v>2568</v>
      </c>
      <c r="R233" s="4"/>
      <c r="S233" s="4"/>
      <c r="T233" s="4" t="str">
        <f>HYPERLINK("http://slimages.macys.com/is/image/MCY/17974921 ")</f>
        <v xml:space="preserve">http://slimages.macys.com/is/image/MCY/17974921 </v>
      </c>
    </row>
    <row r="234" spans="1:20" ht="15" customHeight="1" x14ac:dyDescent="0.25">
      <c r="A234" s="4" t="s">
        <v>2489</v>
      </c>
      <c r="B234" s="2" t="s">
        <v>2487</v>
      </c>
      <c r="C234" s="2" t="s">
        <v>2488</v>
      </c>
      <c r="D234" s="5" t="s">
        <v>2490</v>
      </c>
      <c r="E234" s="4" t="s">
        <v>2491</v>
      </c>
      <c r="F234" s="6">
        <v>14210606</v>
      </c>
      <c r="G234" s="3">
        <v>14210606</v>
      </c>
      <c r="H234" s="7">
        <v>733004040313</v>
      </c>
      <c r="I234" s="8" t="s">
        <v>281</v>
      </c>
      <c r="J234" s="4">
        <v>1</v>
      </c>
      <c r="K234" s="9">
        <v>19.989999999999998</v>
      </c>
      <c r="L234" s="9">
        <v>19.989999999999998</v>
      </c>
      <c r="M234" s="4" t="s">
        <v>1265</v>
      </c>
      <c r="N234" s="4" t="s">
        <v>2501</v>
      </c>
      <c r="O234" s="4" t="s">
        <v>2650</v>
      </c>
      <c r="P234" s="4" t="s">
        <v>2602</v>
      </c>
      <c r="Q234" s="4" t="s">
        <v>2528</v>
      </c>
      <c r="R234" s="4"/>
      <c r="S234" s="4"/>
      <c r="T234" s="4" t="str">
        <f>HYPERLINK("http://slimages.macys.com/is/image/MCY/19944190 ")</f>
        <v xml:space="preserve">http://slimages.macys.com/is/image/MCY/19944190 </v>
      </c>
    </row>
    <row r="235" spans="1:20" ht="15" customHeight="1" x14ac:dyDescent="0.25">
      <c r="A235" s="4" t="s">
        <v>2489</v>
      </c>
      <c r="B235" s="2" t="s">
        <v>2487</v>
      </c>
      <c r="C235" s="2" t="s">
        <v>2488</v>
      </c>
      <c r="D235" s="5" t="s">
        <v>2490</v>
      </c>
      <c r="E235" s="4" t="s">
        <v>2491</v>
      </c>
      <c r="F235" s="6">
        <v>14210606</v>
      </c>
      <c r="G235" s="3">
        <v>14210606</v>
      </c>
      <c r="H235" s="7">
        <v>762120084673</v>
      </c>
      <c r="I235" s="8" t="s">
        <v>3182</v>
      </c>
      <c r="J235" s="4">
        <v>1</v>
      </c>
      <c r="K235" s="9">
        <v>7.99</v>
      </c>
      <c r="L235" s="9">
        <v>7.99</v>
      </c>
      <c r="M235" s="4" t="s">
        <v>3183</v>
      </c>
      <c r="N235" s="4" t="s">
        <v>2565</v>
      </c>
      <c r="O235" s="4" t="s">
        <v>2650</v>
      </c>
      <c r="P235" s="4" t="s">
        <v>2602</v>
      </c>
      <c r="Q235" s="4" t="s">
        <v>2528</v>
      </c>
      <c r="R235" s="4"/>
      <c r="S235" s="4"/>
      <c r="T235" s="4" t="str">
        <f>HYPERLINK("http://slimages.macys.com/is/image/MCY/1088549 ")</f>
        <v xml:space="preserve">http://slimages.macys.com/is/image/MCY/1088549 </v>
      </c>
    </row>
    <row r="236" spans="1:20" ht="15" customHeight="1" x14ac:dyDescent="0.25">
      <c r="A236" s="4" t="s">
        <v>2489</v>
      </c>
      <c r="B236" s="2" t="s">
        <v>2487</v>
      </c>
      <c r="C236" s="2" t="s">
        <v>2488</v>
      </c>
      <c r="D236" s="5" t="s">
        <v>2490</v>
      </c>
      <c r="E236" s="4" t="s">
        <v>2491</v>
      </c>
      <c r="F236" s="6">
        <v>14210606</v>
      </c>
      <c r="G236" s="3">
        <v>14210606</v>
      </c>
      <c r="H236" s="7">
        <v>762120120159</v>
      </c>
      <c r="I236" s="8" t="s">
        <v>1285</v>
      </c>
      <c r="J236" s="4">
        <v>1</v>
      </c>
      <c r="K236" s="9">
        <v>6.99</v>
      </c>
      <c r="L236" s="9">
        <v>6.99</v>
      </c>
      <c r="M236" s="4" t="s">
        <v>3378</v>
      </c>
      <c r="N236" s="4" t="s">
        <v>2497</v>
      </c>
      <c r="O236" s="4" t="s">
        <v>2493</v>
      </c>
      <c r="P236" s="4" t="s">
        <v>2503</v>
      </c>
      <c r="Q236" s="4" t="s">
        <v>2504</v>
      </c>
      <c r="R236" s="4"/>
      <c r="S236" s="4"/>
      <c r="T236" s="4" t="str">
        <f>HYPERLINK("http://slimages.macys.com/is/image/MCY/20386104 ")</f>
        <v xml:space="preserve">http://slimages.macys.com/is/image/MCY/20386104 </v>
      </c>
    </row>
    <row r="237" spans="1:20" ht="15" customHeight="1" x14ac:dyDescent="0.25">
      <c r="A237" s="4" t="s">
        <v>2489</v>
      </c>
      <c r="B237" s="2" t="s">
        <v>2487</v>
      </c>
      <c r="C237" s="2" t="s">
        <v>2488</v>
      </c>
      <c r="D237" s="5" t="s">
        <v>2490</v>
      </c>
      <c r="E237" s="4" t="s">
        <v>2491</v>
      </c>
      <c r="F237" s="6">
        <v>14210606</v>
      </c>
      <c r="G237" s="3">
        <v>14210606</v>
      </c>
      <c r="H237" s="7">
        <v>733004779077</v>
      </c>
      <c r="I237" s="8" t="s">
        <v>3136</v>
      </c>
      <c r="J237" s="4">
        <v>1</v>
      </c>
      <c r="K237" s="9">
        <v>7.99</v>
      </c>
      <c r="L237" s="9">
        <v>7.99</v>
      </c>
      <c r="M237" s="4" t="s">
        <v>2719</v>
      </c>
      <c r="N237" s="4" t="s">
        <v>2565</v>
      </c>
      <c r="O237" s="4">
        <v>5</v>
      </c>
      <c r="P237" s="4" t="s">
        <v>2602</v>
      </c>
      <c r="Q237" s="4" t="s">
        <v>2528</v>
      </c>
      <c r="R237" s="4"/>
      <c r="S237" s="4"/>
      <c r="T237" s="4" t="str">
        <f>HYPERLINK("http://slimages.macys.com/is/image/MCY/20450156 ")</f>
        <v xml:space="preserve">http://slimages.macys.com/is/image/MCY/20450156 </v>
      </c>
    </row>
    <row r="238" spans="1:20" ht="15" customHeight="1" x14ac:dyDescent="0.25">
      <c r="A238" s="4" t="s">
        <v>2489</v>
      </c>
      <c r="B238" s="2" t="s">
        <v>2487</v>
      </c>
      <c r="C238" s="2" t="s">
        <v>2488</v>
      </c>
      <c r="D238" s="5" t="s">
        <v>2490</v>
      </c>
      <c r="E238" s="4" t="s">
        <v>2491</v>
      </c>
      <c r="F238" s="6">
        <v>14210606</v>
      </c>
      <c r="G238" s="3">
        <v>14210606</v>
      </c>
      <c r="H238" s="7">
        <v>733004779107</v>
      </c>
      <c r="I238" s="8" t="s">
        <v>3313</v>
      </c>
      <c r="J238" s="4">
        <v>1</v>
      </c>
      <c r="K238" s="9">
        <v>7.99</v>
      </c>
      <c r="L238" s="9">
        <v>7.99</v>
      </c>
      <c r="M238" s="4" t="s">
        <v>2719</v>
      </c>
      <c r="N238" s="4" t="s">
        <v>2565</v>
      </c>
      <c r="O238" s="4" t="s">
        <v>2629</v>
      </c>
      <c r="P238" s="4" t="s">
        <v>2602</v>
      </c>
      <c r="Q238" s="4" t="s">
        <v>2528</v>
      </c>
      <c r="R238" s="4"/>
      <c r="S238" s="4"/>
      <c r="T238" s="4" t="str">
        <f>HYPERLINK("http://slimages.macys.com/is/image/MCY/20450156 ")</f>
        <v xml:space="preserve">http://slimages.macys.com/is/image/MCY/20450156 </v>
      </c>
    </row>
    <row r="239" spans="1:20" ht="15" customHeight="1" x14ac:dyDescent="0.25">
      <c r="A239" s="4" t="s">
        <v>2489</v>
      </c>
      <c r="B239" s="2" t="s">
        <v>2487</v>
      </c>
      <c r="C239" s="2" t="s">
        <v>2488</v>
      </c>
      <c r="D239" s="5" t="s">
        <v>2490</v>
      </c>
      <c r="E239" s="4" t="s">
        <v>2491</v>
      </c>
      <c r="F239" s="6">
        <v>14210606</v>
      </c>
      <c r="G239" s="3">
        <v>14210606</v>
      </c>
      <c r="H239" s="7">
        <v>762120084697</v>
      </c>
      <c r="I239" s="8" t="s">
        <v>3340</v>
      </c>
      <c r="J239" s="4">
        <v>1</v>
      </c>
      <c r="K239" s="9">
        <v>7.99</v>
      </c>
      <c r="L239" s="9">
        <v>7.99</v>
      </c>
      <c r="M239" s="4" t="s">
        <v>3183</v>
      </c>
      <c r="N239" s="4" t="s">
        <v>2565</v>
      </c>
      <c r="O239" s="4" t="s">
        <v>2628</v>
      </c>
      <c r="P239" s="4" t="s">
        <v>2602</v>
      </c>
      <c r="Q239" s="4" t="s">
        <v>2528</v>
      </c>
      <c r="R239" s="4"/>
      <c r="S239" s="4"/>
      <c r="T239" s="4" t="str">
        <f>HYPERLINK("http://slimages.macys.com/is/image/MCY/20691777 ")</f>
        <v xml:space="preserve">http://slimages.macys.com/is/image/MCY/20691777 </v>
      </c>
    </row>
    <row r="240" spans="1:20" ht="15" customHeight="1" x14ac:dyDescent="0.25">
      <c r="A240" s="4" t="s">
        <v>2489</v>
      </c>
      <c r="B240" s="2" t="s">
        <v>2487</v>
      </c>
      <c r="C240" s="2" t="s">
        <v>2488</v>
      </c>
      <c r="D240" s="5" t="s">
        <v>2490</v>
      </c>
      <c r="E240" s="4" t="s">
        <v>2491</v>
      </c>
      <c r="F240" s="6">
        <v>14210606</v>
      </c>
      <c r="G240" s="3">
        <v>14210606</v>
      </c>
      <c r="H240" s="7">
        <v>194135294912</v>
      </c>
      <c r="I240" s="8" t="s">
        <v>282</v>
      </c>
      <c r="J240" s="4">
        <v>1</v>
      </c>
      <c r="K240" s="9">
        <v>12.97</v>
      </c>
      <c r="L240" s="9">
        <v>12.97</v>
      </c>
      <c r="M240" s="4" t="s">
        <v>3356</v>
      </c>
      <c r="N240" s="4" t="s">
        <v>2523</v>
      </c>
      <c r="O240" s="4" t="s">
        <v>2591</v>
      </c>
      <c r="P240" s="4" t="s">
        <v>2494</v>
      </c>
      <c r="Q240" s="4" t="s">
        <v>2495</v>
      </c>
      <c r="R240" s="4"/>
      <c r="S240" s="4"/>
      <c r="T240" s="4" t="str">
        <f>HYPERLINK("http://slimages.macys.com/is/image/MCY/19146621 ")</f>
        <v xml:space="preserve">http://slimages.macys.com/is/image/MCY/19146621 </v>
      </c>
    </row>
    <row r="241" spans="1:20" ht="15" customHeight="1" x14ac:dyDescent="0.25">
      <c r="A241" s="4" t="s">
        <v>2489</v>
      </c>
      <c r="B241" s="2" t="s">
        <v>2487</v>
      </c>
      <c r="C241" s="2" t="s">
        <v>2488</v>
      </c>
      <c r="D241" s="5" t="s">
        <v>2490</v>
      </c>
      <c r="E241" s="4" t="s">
        <v>2491</v>
      </c>
      <c r="F241" s="6">
        <v>14210606</v>
      </c>
      <c r="G241" s="3">
        <v>14210606</v>
      </c>
      <c r="H241" s="7">
        <v>733002944316</v>
      </c>
      <c r="I241" s="8" t="s">
        <v>3263</v>
      </c>
      <c r="J241" s="4">
        <v>1</v>
      </c>
      <c r="K241" s="9">
        <v>5.99</v>
      </c>
      <c r="L241" s="9">
        <v>5.99</v>
      </c>
      <c r="M241" s="4" t="s">
        <v>3232</v>
      </c>
      <c r="N241" s="4" t="s">
        <v>2508</v>
      </c>
      <c r="O241" s="4" t="s">
        <v>2629</v>
      </c>
      <c r="P241" s="4" t="s">
        <v>2520</v>
      </c>
      <c r="Q241" s="4" t="s">
        <v>2528</v>
      </c>
      <c r="R241" s="4"/>
      <c r="S241" s="4"/>
      <c r="T241" s="4" t="str">
        <f>HYPERLINK("http://slimages.macys.com/is/image/MCY/19239511 ")</f>
        <v xml:space="preserve">http://slimages.macys.com/is/image/MCY/19239511 </v>
      </c>
    </row>
    <row r="242" spans="1:20" ht="15" customHeight="1" x14ac:dyDescent="0.25">
      <c r="A242" s="4" t="s">
        <v>2489</v>
      </c>
      <c r="B242" s="2" t="s">
        <v>2487</v>
      </c>
      <c r="C242" s="2" t="s">
        <v>2488</v>
      </c>
      <c r="D242" s="5" t="s">
        <v>2490</v>
      </c>
      <c r="E242" s="4" t="s">
        <v>2491</v>
      </c>
      <c r="F242" s="6">
        <v>14210606</v>
      </c>
      <c r="G242" s="3">
        <v>14210606</v>
      </c>
      <c r="H242" s="7">
        <v>733004072895</v>
      </c>
      <c r="I242" s="8" t="s">
        <v>1570</v>
      </c>
      <c r="J242" s="4">
        <v>1</v>
      </c>
      <c r="K242" s="9">
        <v>22.99</v>
      </c>
      <c r="L242" s="9">
        <v>22.99</v>
      </c>
      <c r="M242" s="4" t="s">
        <v>1553</v>
      </c>
      <c r="N242" s="4"/>
      <c r="O242" s="4" t="s">
        <v>2498</v>
      </c>
      <c r="P242" s="4" t="s">
        <v>2543</v>
      </c>
      <c r="Q242" s="4" t="s">
        <v>2528</v>
      </c>
      <c r="R242" s="4"/>
      <c r="S242" s="4"/>
      <c r="T242" s="4" t="str">
        <f>HYPERLINK("http://slimages.macys.com/is/image/MCY/19988425 ")</f>
        <v xml:space="preserve">http://slimages.macys.com/is/image/MCY/19988425 </v>
      </c>
    </row>
    <row r="243" spans="1:20" ht="15" customHeight="1" x14ac:dyDescent="0.25">
      <c r="A243" s="4" t="s">
        <v>2489</v>
      </c>
      <c r="B243" s="2" t="s">
        <v>2487</v>
      </c>
      <c r="C243" s="2" t="s">
        <v>2488</v>
      </c>
      <c r="D243" s="5" t="s">
        <v>2490</v>
      </c>
      <c r="E243" s="4" t="s">
        <v>2491</v>
      </c>
      <c r="F243" s="6">
        <v>14210606</v>
      </c>
      <c r="G243" s="3">
        <v>14210606</v>
      </c>
      <c r="H243" s="7">
        <v>762120216357</v>
      </c>
      <c r="I243" s="8" t="s">
        <v>2993</v>
      </c>
      <c r="J243" s="4">
        <v>1</v>
      </c>
      <c r="K243" s="9">
        <v>21.99</v>
      </c>
      <c r="L243" s="9">
        <v>21.99</v>
      </c>
      <c r="M243" s="4" t="s">
        <v>2994</v>
      </c>
      <c r="N243" s="4" t="s">
        <v>2565</v>
      </c>
      <c r="O243" s="4" t="s">
        <v>2671</v>
      </c>
      <c r="P243" s="4" t="s">
        <v>2515</v>
      </c>
      <c r="Q243" s="4" t="s">
        <v>2672</v>
      </c>
      <c r="R243" s="4"/>
      <c r="S243" s="4"/>
      <c r="T243" s="4" t="str">
        <f>HYPERLINK("http://slimages.macys.com/is/image/MCY/20411699 ")</f>
        <v xml:space="preserve">http://slimages.macys.com/is/image/MCY/20411699 </v>
      </c>
    </row>
    <row r="244" spans="1:20" ht="15" customHeight="1" x14ac:dyDescent="0.25">
      <c r="A244" s="4" t="s">
        <v>2489</v>
      </c>
      <c r="B244" s="2" t="s">
        <v>2487</v>
      </c>
      <c r="C244" s="2" t="s">
        <v>2488</v>
      </c>
      <c r="D244" s="5" t="s">
        <v>2490</v>
      </c>
      <c r="E244" s="4" t="s">
        <v>2491</v>
      </c>
      <c r="F244" s="6">
        <v>14210606</v>
      </c>
      <c r="G244" s="3">
        <v>14210606</v>
      </c>
      <c r="H244" s="7">
        <v>194870430712</v>
      </c>
      <c r="I244" s="8" t="s">
        <v>2899</v>
      </c>
      <c r="J244" s="4">
        <v>2</v>
      </c>
      <c r="K244" s="9">
        <v>37.99</v>
      </c>
      <c r="L244" s="9">
        <v>75.98</v>
      </c>
      <c r="M244" s="4" t="s">
        <v>2900</v>
      </c>
      <c r="N244" s="4" t="s">
        <v>2805</v>
      </c>
      <c r="O244" s="4" t="s">
        <v>2901</v>
      </c>
      <c r="P244" s="4" t="s">
        <v>2619</v>
      </c>
      <c r="Q244" s="4" t="s">
        <v>2681</v>
      </c>
      <c r="R244" s="4"/>
      <c r="S244" s="4"/>
      <c r="T244" s="4" t="str">
        <f>HYPERLINK("http://slimages.macys.com/is/image/MCY/19646742 ")</f>
        <v xml:space="preserve">http://slimages.macys.com/is/image/MCY/19646742 </v>
      </c>
    </row>
    <row r="245" spans="1:20" ht="15" customHeight="1" x14ac:dyDescent="0.25">
      <c r="A245" s="4" t="s">
        <v>2489</v>
      </c>
      <c r="B245" s="2" t="s">
        <v>2487</v>
      </c>
      <c r="C245" s="2" t="s">
        <v>2488</v>
      </c>
      <c r="D245" s="5" t="s">
        <v>2490</v>
      </c>
      <c r="E245" s="4" t="s">
        <v>2491</v>
      </c>
      <c r="F245" s="6">
        <v>14210606</v>
      </c>
      <c r="G245" s="3">
        <v>14210606</v>
      </c>
      <c r="H245" s="7">
        <v>194870498989</v>
      </c>
      <c r="I245" s="8" t="s">
        <v>283</v>
      </c>
      <c r="J245" s="4">
        <v>1</v>
      </c>
      <c r="K245" s="9">
        <v>25.99</v>
      </c>
      <c r="L245" s="9">
        <v>25.99</v>
      </c>
      <c r="M245" s="4" t="s">
        <v>2680</v>
      </c>
      <c r="N245" s="4"/>
      <c r="O245" s="4" t="s">
        <v>2498</v>
      </c>
      <c r="P245" s="4" t="s">
        <v>2619</v>
      </c>
      <c r="Q245" s="4" t="s">
        <v>2681</v>
      </c>
      <c r="R245" s="4"/>
      <c r="S245" s="4"/>
      <c r="T245" s="4" t="str">
        <f>HYPERLINK("http://slimages.macys.com/is/image/MCY/19589603 ")</f>
        <v xml:space="preserve">http://slimages.macys.com/is/image/MCY/19589603 </v>
      </c>
    </row>
    <row r="246" spans="1:20" ht="15" customHeight="1" x14ac:dyDescent="0.25">
      <c r="A246" s="4" t="s">
        <v>2489</v>
      </c>
      <c r="B246" s="2" t="s">
        <v>2487</v>
      </c>
      <c r="C246" s="2" t="s">
        <v>2488</v>
      </c>
      <c r="D246" s="5" t="s">
        <v>2490</v>
      </c>
      <c r="E246" s="4" t="s">
        <v>2491</v>
      </c>
      <c r="F246" s="6">
        <v>14210606</v>
      </c>
      <c r="G246" s="3">
        <v>14210606</v>
      </c>
      <c r="H246" s="7">
        <v>194870451533</v>
      </c>
      <c r="I246" s="8" t="s">
        <v>284</v>
      </c>
      <c r="J246" s="4">
        <v>1</v>
      </c>
      <c r="K246" s="9">
        <v>25.99</v>
      </c>
      <c r="L246" s="9">
        <v>25.99</v>
      </c>
      <c r="M246" s="4" t="s">
        <v>285</v>
      </c>
      <c r="N246" s="4" t="s">
        <v>2739</v>
      </c>
      <c r="O246" s="4" t="s">
        <v>2498</v>
      </c>
      <c r="P246" s="4" t="s">
        <v>2619</v>
      </c>
      <c r="Q246" s="4" t="s">
        <v>2681</v>
      </c>
      <c r="R246" s="4"/>
      <c r="S246" s="4"/>
      <c r="T246" s="4" t="str">
        <f>HYPERLINK("http://slimages.macys.com/is/image/MCY/19463866 ")</f>
        <v xml:space="preserve">http://slimages.macys.com/is/image/MCY/19463866 </v>
      </c>
    </row>
    <row r="247" spans="1:20" ht="15" customHeight="1" x14ac:dyDescent="0.25">
      <c r="A247" s="4" t="s">
        <v>2489</v>
      </c>
      <c r="B247" s="2" t="s">
        <v>2487</v>
      </c>
      <c r="C247" s="2" t="s">
        <v>2488</v>
      </c>
      <c r="D247" s="5" t="s">
        <v>2490</v>
      </c>
      <c r="E247" s="4" t="s">
        <v>2491</v>
      </c>
      <c r="F247" s="6">
        <v>14210606</v>
      </c>
      <c r="G247" s="3">
        <v>14210606</v>
      </c>
      <c r="H247" s="7">
        <v>194135516267</v>
      </c>
      <c r="I247" s="8" t="s">
        <v>286</v>
      </c>
      <c r="J247" s="4">
        <v>1</v>
      </c>
      <c r="K247" s="9">
        <v>10.220000000000001</v>
      </c>
      <c r="L247" s="9">
        <v>10.220000000000001</v>
      </c>
      <c r="M247" s="4" t="s">
        <v>504</v>
      </c>
      <c r="N247" s="4" t="s">
        <v>2531</v>
      </c>
      <c r="O247" s="4" t="s">
        <v>2705</v>
      </c>
      <c r="P247" s="4" t="s">
        <v>2657</v>
      </c>
      <c r="Q247" s="4" t="s">
        <v>2658</v>
      </c>
      <c r="R247" s="4"/>
      <c r="S247" s="4"/>
      <c r="T247" s="4" t="str">
        <f>HYPERLINK("http://slimages.macys.com/is/image/MCY/19847031 ")</f>
        <v xml:space="preserve">http://slimages.macys.com/is/image/MCY/19847031 </v>
      </c>
    </row>
    <row r="248" spans="1:20" ht="15" customHeight="1" x14ac:dyDescent="0.25">
      <c r="A248" s="4" t="s">
        <v>2489</v>
      </c>
      <c r="B248" s="2" t="s">
        <v>2487</v>
      </c>
      <c r="C248" s="2" t="s">
        <v>2488</v>
      </c>
      <c r="D248" s="5" t="s">
        <v>2490</v>
      </c>
      <c r="E248" s="4" t="s">
        <v>2491</v>
      </c>
      <c r="F248" s="6">
        <v>14210606</v>
      </c>
      <c r="G248" s="3">
        <v>14210606</v>
      </c>
      <c r="H248" s="7">
        <v>733003924553</v>
      </c>
      <c r="I248" s="8" t="s">
        <v>287</v>
      </c>
      <c r="J248" s="4">
        <v>1</v>
      </c>
      <c r="K248" s="9">
        <v>6.99</v>
      </c>
      <c r="L248" s="9">
        <v>6.99</v>
      </c>
      <c r="M248" s="4" t="s">
        <v>288</v>
      </c>
      <c r="N248" s="4" t="s">
        <v>2611</v>
      </c>
      <c r="O248" s="4" t="s">
        <v>2502</v>
      </c>
      <c r="P248" s="4" t="s">
        <v>2503</v>
      </c>
      <c r="Q248" s="4" t="s">
        <v>2504</v>
      </c>
      <c r="R248" s="4"/>
      <c r="S248" s="4"/>
      <c r="T248" s="4" t="str">
        <f>HYPERLINK("http://slimages.macys.com/is/image/MCY/19507838 ")</f>
        <v xml:space="preserve">http://slimages.macys.com/is/image/MCY/19507838 </v>
      </c>
    </row>
    <row r="249" spans="1:20" ht="15" customHeight="1" x14ac:dyDescent="0.25">
      <c r="A249" s="4" t="s">
        <v>2489</v>
      </c>
      <c r="B249" s="2" t="s">
        <v>2487</v>
      </c>
      <c r="C249" s="2" t="s">
        <v>2488</v>
      </c>
      <c r="D249" s="5" t="s">
        <v>2490</v>
      </c>
      <c r="E249" s="4" t="s">
        <v>2491</v>
      </c>
      <c r="F249" s="6">
        <v>14210606</v>
      </c>
      <c r="G249" s="3">
        <v>14210606</v>
      </c>
      <c r="H249" s="7">
        <v>733003924928</v>
      </c>
      <c r="I249" s="8" t="s">
        <v>92</v>
      </c>
      <c r="J249" s="4">
        <v>1</v>
      </c>
      <c r="K249" s="9">
        <v>6.99</v>
      </c>
      <c r="L249" s="9">
        <v>6.99</v>
      </c>
      <c r="M249" s="4" t="s">
        <v>83</v>
      </c>
      <c r="N249" s="4" t="s">
        <v>2561</v>
      </c>
      <c r="O249" s="4" t="s">
        <v>2601</v>
      </c>
      <c r="P249" s="4" t="s">
        <v>2503</v>
      </c>
      <c r="Q249" s="4" t="s">
        <v>2504</v>
      </c>
      <c r="R249" s="4"/>
      <c r="S249" s="4"/>
      <c r="T249" s="4" t="str">
        <f>HYPERLINK("http://slimages.macys.com/is/image/MCY/19521565 ")</f>
        <v xml:space="preserve">http://slimages.macys.com/is/image/MCY/19521565 </v>
      </c>
    </row>
    <row r="250" spans="1:20" ht="15" customHeight="1" x14ac:dyDescent="0.25">
      <c r="A250" s="4" t="s">
        <v>2489</v>
      </c>
      <c r="B250" s="2" t="s">
        <v>2487</v>
      </c>
      <c r="C250" s="2" t="s">
        <v>2488</v>
      </c>
      <c r="D250" s="5" t="s">
        <v>2490</v>
      </c>
      <c r="E250" s="4" t="s">
        <v>2491</v>
      </c>
      <c r="F250" s="6">
        <v>14210606</v>
      </c>
      <c r="G250" s="3">
        <v>14210606</v>
      </c>
      <c r="H250" s="7">
        <v>733004290770</v>
      </c>
      <c r="I250" s="8" t="s">
        <v>928</v>
      </c>
      <c r="J250" s="4">
        <v>1</v>
      </c>
      <c r="K250" s="9">
        <v>7.99</v>
      </c>
      <c r="L250" s="9">
        <v>7.99</v>
      </c>
      <c r="M250" s="4" t="s">
        <v>929</v>
      </c>
      <c r="N250" s="4" t="s">
        <v>2600</v>
      </c>
      <c r="O250" s="4" t="s">
        <v>2628</v>
      </c>
      <c r="P250" s="4" t="s">
        <v>2503</v>
      </c>
      <c r="Q250" s="4" t="s">
        <v>2504</v>
      </c>
      <c r="R250" s="4"/>
      <c r="S250" s="4"/>
      <c r="T250" s="4" t="str">
        <f>HYPERLINK("http://slimages.macys.com/is/image/MCY/19746547 ")</f>
        <v xml:space="preserve">http://slimages.macys.com/is/image/MCY/19746547 </v>
      </c>
    </row>
    <row r="251" spans="1:20" ht="15" customHeight="1" x14ac:dyDescent="0.25">
      <c r="A251" s="4" t="s">
        <v>2489</v>
      </c>
      <c r="B251" s="2" t="s">
        <v>2487</v>
      </c>
      <c r="C251" s="2" t="s">
        <v>2488</v>
      </c>
      <c r="D251" s="5" t="s">
        <v>2490</v>
      </c>
      <c r="E251" s="4" t="s">
        <v>2491</v>
      </c>
      <c r="F251" s="6">
        <v>14210606</v>
      </c>
      <c r="G251" s="3">
        <v>14210606</v>
      </c>
      <c r="H251" s="7">
        <v>192042719474</v>
      </c>
      <c r="I251" s="8" t="s">
        <v>289</v>
      </c>
      <c r="J251" s="4">
        <v>1</v>
      </c>
      <c r="K251" s="9">
        <v>17.5</v>
      </c>
      <c r="L251" s="9">
        <v>17.5</v>
      </c>
      <c r="M251" s="4" t="s">
        <v>1066</v>
      </c>
      <c r="N251" s="4" t="s">
        <v>2523</v>
      </c>
      <c r="O251" s="4" t="s">
        <v>2587</v>
      </c>
      <c r="P251" s="4" t="s">
        <v>2876</v>
      </c>
      <c r="Q251" s="4" t="s">
        <v>2877</v>
      </c>
      <c r="R251" s="4" t="s">
        <v>2552</v>
      </c>
      <c r="S251" s="4" t="s">
        <v>2721</v>
      </c>
      <c r="T251" s="4" t="str">
        <f>HYPERLINK("http://slimages.macys.com/is/image/MCY/11437141 ")</f>
        <v xml:space="preserve">http://slimages.macys.com/is/image/MCY/11437141 </v>
      </c>
    </row>
    <row r="252" spans="1:20" ht="15" customHeight="1" x14ac:dyDescent="0.25">
      <c r="A252" s="4" t="s">
        <v>2489</v>
      </c>
      <c r="B252" s="2" t="s">
        <v>2487</v>
      </c>
      <c r="C252" s="2" t="s">
        <v>2488</v>
      </c>
      <c r="D252" s="5" t="s">
        <v>2490</v>
      </c>
      <c r="E252" s="4" t="s">
        <v>2491</v>
      </c>
      <c r="F252" s="6">
        <v>14210606</v>
      </c>
      <c r="G252" s="3">
        <v>14210606</v>
      </c>
      <c r="H252" s="7">
        <v>195238038144</v>
      </c>
      <c r="I252" s="8" t="s">
        <v>2333</v>
      </c>
      <c r="J252" s="4">
        <v>1</v>
      </c>
      <c r="K252" s="9">
        <v>28.99</v>
      </c>
      <c r="L252" s="9">
        <v>28.99</v>
      </c>
      <c r="M252" s="4" t="s">
        <v>2884</v>
      </c>
      <c r="N252" s="4" t="s">
        <v>2676</v>
      </c>
      <c r="O252" s="4" t="s">
        <v>2555</v>
      </c>
      <c r="P252" s="4" t="s">
        <v>2619</v>
      </c>
      <c r="Q252" s="4" t="s">
        <v>2568</v>
      </c>
      <c r="R252" s="4"/>
      <c r="S252" s="4"/>
      <c r="T252" s="4" t="str">
        <f>HYPERLINK("http://slimages.macys.com/is/image/MCY/19219363 ")</f>
        <v xml:space="preserve">http://slimages.macys.com/is/image/MCY/19219363 </v>
      </c>
    </row>
    <row r="253" spans="1:20" ht="15" customHeight="1" x14ac:dyDescent="0.25">
      <c r="A253" s="4" t="s">
        <v>2489</v>
      </c>
      <c r="B253" s="2" t="s">
        <v>2487</v>
      </c>
      <c r="C253" s="2" t="s">
        <v>2488</v>
      </c>
      <c r="D253" s="5" t="s">
        <v>2490</v>
      </c>
      <c r="E253" s="4" t="s">
        <v>2491</v>
      </c>
      <c r="F253" s="6">
        <v>14210606</v>
      </c>
      <c r="G253" s="3">
        <v>14210606</v>
      </c>
      <c r="H253" s="7">
        <v>742728996745</v>
      </c>
      <c r="I253" s="8" t="s">
        <v>290</v>
      </c>
      <c r="J253" s="4">
        <v>1</v>
      </c>
      <c r="K253" s="9">
        <v>33.99</v>
      </c>
      <c r="L253" s="9">
        <v>33.99</v>
      </c>
      <c r="M253" s="4" t="s">
        <v>291</v>
      </c>
      <c r="N253" s="4" t="s">
        <v>2523</v>
      </c>
      <c r="O253" s="4" t="s">
        <v>2587</v>
      </c>
      <c r="P253" s="4" t="s">
        <v>2619</v>
      </c>
      <c r="Q253" s="4" t="s">
        <v>2733</v>
      </c>
      <c r="R253" s="4"/>
      <c r="S253" s="4"/>
      <c r="T253" s="4" t="str">
        <f>HYPERLINK("http://slimages.macys.com/is/image/MCY/20277702 ")</f>
        <v xml:space="preserve">http://slimages.macys.com/is/image/MCY/20277702 </v>
      </c>
    </row>
    <row r="254" spans="1:20" ht="15" customHeight="1" x14ac:dyDescent="0.25">
      <c r="A254" s="4" t="s">
        <v>2489</v>
      </c>
      <c r="B254" s="2" t="s">
        <v>2487</v>
      </c>
      <c r="C254" s="2" t="s">
        <v>2488</v>
      </c>
      <c r="D254" s="5" t="s">
        <v>2490</v>
      </c>
      <c r="E254" s="4" t="s">
        <v>2491</v>
      </c>
      <c r="F254" s="6">
        <v>14210606</v>
      </c>
      <c r="G254" s="3">
        <v>14210606</v>
      </c>
      <c r="H254" s="7">
        <v>194958023577</v>
      </c>
      <c r="I254" s="8" t="s">
        <v>292</v>
      </c>
      <c r="J254" s="4">
        <v>1</v>
      </c>
      <c r="K254" s="9">
        <v>18.989999999999998</v>
      </c>
      <c r="L254" s="9">
        <v>18.989999999999998</v>
      </c>
      <c r="M254" s="4" t="s">
        <v>293</v>
      </c>
      <c r="N254" s="4" t="s">
        <v>2508</v>
      </c>
      <c r="O254" s="4" t="s">
        <v>2498</v>
      </c>
      <c r="P254" s="4" t="s">
        <v>2619</v>
      </c>
      <c r="Q254" s="4" t="s">
        <v>2568</v>
      </c>
      <c r="R254" s="4"/>
      <c r="S254" s="4"/>
      <c r="T254" s="4" t="str">
        <f>HYPERLINK("http://slimages.macys.com/is/image/MCY/18956864 ")</f>
        <v xml:space="preserve">http://slimages.macys.com/is/image/MCY/18956864 </v>
      </c>
    </row>
    <row r="255" spans="1:20" ht="15" customHeight="1" x14ac:dyDescent="0.25">
      <c r="A255" s="4" t="s">
        <v>2489</v>
      </c>
      <c r="B255" s="2" t="s">
        <v>2487</v>
      </c>
      <c r="C255" s="2" t="s">
        <v>2488</v>
      </c>
      <c r="D255" s="5" t="s">
        <v>2490</v>
      </c>
      <c r="E255" s="4" t="s">
        <v>2491</v>
      </c>
      <c r="F255" s="6">
        <v>14210606</v>
      </c>
      <c r="G255" s="3">
        <v>14210606</v>
      </c>
      <c r="H255" s="7">
        <v>193666880120</v>
      </c>
      <c r="I255" s="8" t="s">
        <v>2453</v>
      </c>
      <c r="J255" s="4">
        <v>1</v>
      </c>
      <c r="K255" s="9">
        <v>30.99</v>
      </c>
      <c r="L255" s="9">
        <v>30.99</v>
      </c>
      <c r="M255" s="4">
        <v>2153</v>
      </c>
      <c r="N255" s="4" t="s">
        <v>2454</v>
      </c>
      <c r="O255" s="4" t="s">
        <v>2519</v>
      </c>
      <c r="P255" s="4" t="s">
        <v>2569</v>
      </c>
      <c r="Q255" s="4" t="s">
        <v>3173</v>
      </c>
      <c r="R255" s="4"/>
      <c r="S255" s="4"/>
      <c r="T255" s="4" t="str">
        <f>HYPERLINK("http://slimages.macys.com/is/image/MCY/20586522 ")</f>
        <v xml:space="preserve">http://slimages.macys.com/is/image/MCY/20586522 </v>
      </c>
    </row>
    <row r="256" spans="1:20" ht="15" customHeight="1" x14ac:dyDescent="0.25">
      <c r="A256" s="4" t="s">
        <v>2489</v>
      </c>
      <c r="B256" s="2" t="s">
        <v>2487</v>
      </c>
      <c r="C256" s="2" t="s">
        <v>2488</v>
      </c>
      <c r="D256" s="5" t="s">
        <v>2490</v>
      </c>
      <c r="E256" s="4" t="s">
        <v>2491</v>
      </c>
      <c r="F256" s="6">
        <v>14210606</v>
      </c>
      <c r="G256" s="3">
        <v>14210606</v>
      </c>
      <c r="H256" s="7">
        <v>733004290367</v>
      </c>
      <c r="I256" s="8" t="s">
        <v>294</v>
      </c>
      <c r="J256" s="4">
        <v>1</v>
      </c>
      <c r="K256" s="9">
        <v>6.99</v>
      </c>
      <c r="L256" s="9">
        <v>6.99</v>
      </c>
      <c r="M256" s="4" t="s">
        <v>119</v>
      </c>
      <c r="N256" s="4" t="s">
        <v>2665</v>
      </c>
      <c r="O256" s="4" t="s">
        <v>2601</v>
      </c>
      <c r="P256" s="4" t="s">
        <v>2503</v>
      </c>
      <c r="Q256" s="4" t="s">
        <v>2504</v>
      </c>
      <c r="R256" s="4"/>
      <c r="S256" s="4"/>
      <c r="T256" s="4" t="str">
        <f>HYPERLINK("http://slimages.macys.com/is/image/MCY/19746503 ")</f>
        <v xml:space="preserve">http://slimages.macys.com/is/image/MCY/19746503 </v>
      </c>
    </row>
    <row r="257" spans="1:20" ht="15" customHeight="1" x14ac:dyDescent="0.25">
      <c r="A257" s="4" t="s">
        <v>2489</v>
      </c>
      <c r="B257" s="2" t="s">
        <v>2487</v>
      </c>
      <c r="C257" s="2" t="s">
        <v>2488</v>
      </c>
      <c r="D257" s="5" t="s">
        <v>2490</v>
      </c>
      <c r="E257" s="4" t="s">
        <v>2491</v>
      </c>
      <c r="F257" s="6">
        <v>14210606</v>
      </c>
      <c r="G257" s="3">
        <v>14210606</v>
      </c>
      <c r="H257" s="7">
        <v>196325102656</v>
      </c>
      <c r="I257" s="8" t="s">
        <v>295</v>
      </c>
      <c r="J257" s="4">
        <v>3</v>
      </c>
      <c r="K257" s="9">
        <v>25.99</v>
      </c>
      <c r="L257" s="9">
        <v>77.97</v>
      </c>
      <c r="M257" s="4" t="s">
        <v>296</v>
      </c>
      <c r="N257" s="4" t="s">
        <v>2492</v>
      </c>
      <c r="O257" s="4">
        <v>5</v>
      </c>
      <c r="P257" s="4" t="s">
        <v>2536</v>
      </c>
      <c r="Q257" s="4" t="s">
        <v>2944</v>
      </c>
      <c r="R257" s="4"/>
      <c r="S257" s="4"/>
      <c r="T257" s="4"/>
    </row>
    <row r="258" spans="1:20" ht="15" customHeight="1" x14ac:dyDescent="0.25">
      <c r="A258" s="4" t="s">
        <v>2489</v>
      </c>
      <c r="B258" s="2" t="s">
        <v>2487</v>
      </c>
      <c r="C258" s="2" t="s">
        <v>2488</v>
      </c>
      <c r="D258" s="5" t="s">
        <v>2490</v>
      </c>
      <c r="E258" s="4" t="s">
        <v>2491</v>
      </c>
      <c r="F258" s="6">
        <v>14210606</v>
      </c>
      <c r="G258" s="3">
        <v>14210606</v>
      </c>
      <c r="H258" s="7">
        <v>633731114953</v>
      </c>
      <c r="I258" s="8" t="s">
        <v>85</v>
      </c>
      <c r="J258" s="4">
        <v>4</v>
      </c>
      <c r="K258" s="9">
        <v>17.989999999999998</v>
      </c>
      <c r="L258" s="9">
        <v>71.959999999999994</v>
      </c>
      <c r="M258" s="4" t="s">
        <v>1843</v>
      </c>
      <c r="N258" s="4" t="s">
        <v>2664</v>
      </c>
      <c r="O258" s="4" t="s">
        <v>2555</v>
      </c>
      <c r="P258" s="4" t="s">
        <v>2499</v>
      </c>
      <c r="Q258" s="4" t="s">
        <v>2752</v>
      </c>
      <c r="R258" s="4" t="s">
        <v>2552</v>
      </c>
      <c r="S258" s="4" t="s">
        <v>2834</v>
      </c>
      <c r="T258" s="4" t="str">
        <f>HYPERLINK("http://slimages.macys.com/is/image/MCY/14565373 ")</f>
        <v xml:space="preserve">http://slimages.macys.com/is/image/MCY/14565373 </v>
      </c>
    </row>
    <row r="259" spans="1:20" ht="15" customHeight="1" x14ac:dyDescent="0.25">
      <c r="A259" s="4" t="s">
        <v>2489</v>
      </c>
      <c r="B259" s="2" t="s">
        <v>2487</v>
      </c>
      <c r="C259" s="2" t="s">
        <v>2488</v>
      </c>
      <c r="D259" s="5" t="s">
        <v>2490</v>
      </c>
      <c r="E259" s="4" t="s">
        <v>2491</v>
      </c>
      <c r="F259" s="6">
        <v>14210606</v>
      </c>
      <c r="G259" s="3">
        <v>14210606</v>
      </c>
      <c r="H259" s="7">
        <v>762120087254</v>
      </c>
      <c r="I259" s="8" t="s">
        <v>3458</v>
      </c>
      <c r="J259" s="4">
        <v>2</v>
      </c>
      <c r="K259" s="9">
        <v>11.99</v>
      </c>
      <c r="L259" s="9">
        <v>23.98</v>
      </c>
      <c r="M259" s="4" t="s">
        <v>3045</v>
      </c>
      <c r="N259" s="4" t="s">
        <v>2567</v>
      </c>
      <c r="O259" s="4">
        <v>6</v>
      </c>
      <c r="P259" s="4" t="s">
        <v>2602</v>
      </c>
      <c r="Q259" s="4" t="s">
        <v>2528</v>
      </c>
      <c r="R259" s="4"/>
      <c r="S259" s="4"/>
      <c r="T259" s="4" t="str">
        <f>HYPERLINK("http://slimages.macys.com/is/image/MCY/20691887 ")</f>
        <v xml:space="preserve">http://slimages.macys.com/is/image/MCY/20691887 </v>
      </c>
    </row>
    <row r="260" spans="1:20" ht="15" customHeight="1" x14ac:dyDescent="0.25">
      <c r="A260" s="4" t="s">
        <v>2489</v>
      </c>
      <c r="B260" s="2" t="s">
        <v>2487</v>
      </c>
      <c r="C260" s="2" t="s">
        <v>2488</v>
      </c>
      <c r="D260" s="5" t="s">
        <v>2490</v>
      </c>
      <c r="E260" s="4" t="s">
        <v>2491</v>
      </c>
      <c r="F260" s="6">
        <v>14210606</v>
      </c>
      <c r="G260" s="3">
        <v>14210606</v>
      </c>
      <c r="H260" s="7">
        <v>195438292445</v>
      </c>
      <c r="I260" s="8" t="s">
        <v>297</v>
      </c>
      <c r="J260" s="4">
        <v>1</v>
      </c>
      <c r="K260" s="9">
        <v>109</v>
      </c>
      <c r="L260" s="9">
        <v>109</v>
      </c>
      <c r="M260" s="4" t="s">
        <v>298</v>
      </c>
      <c r="N260" s="4" t="s">
        <v>2526</v>
      </c>
      <c r="O260" s="4"/>
      <c r="P260" s="4" t="s">
        <v>2550</v>
      </c>
      <c r="Q260" s="4" t="s">
        <v>3013</v>
      </c>
      <c r="R260" s="4"/>
      <c r="S260" s="4"/>
      <c r="T260" s="4" t="str">
        <f>HYPERLINK("http://slimages.macys.com/is/image/MCY/20092724 ")</f>
        <v xml:space="preserve">http://slimages.macys.com/is/image/MCY/20092724 </v>
      </c>
    </row>
    <row r="261" spans="1:20" ht="15" customHeight="1" x14ac:dyDescent="0.25">
      <c r="A261" s="4" t="s">
        <v>2489</v>
      </c>
      <c r="B261" s="2" t="s">
        <v>2487</v>
      </c>
      <c r="C261" s="2" t="s">
        <v>2488</v>
      </c>
      <c r="D261" s="5" t="s">
        <v>2490</v>
      </c>
      <c r="E261" s="4" t="s">
        <v>2491</v>
      </c>
      <c r="F261" s="6">
        <v>14210606</v>
      </c>
      <c r="G261" s="3">
        <v>14210606</v>
      </c>
      <c r="H261" s="7">
        <v>807421111267</v>
      </c>
      <c r="I261" s="8" t="s">
        <v>299</v>
      </c>
      <c r="J261" s="4">
        <v>1</v>
      </c>
      <c r="K261" s="9">
        <v>56.25</v>
      </c>
      <c r="L261" s="9">
        <v>56.25</v>
      </c>
      <c r="M261" s="4" t="s">
        <v>2019</v>
      </c>
      <c r="N261" s="4" t="s">
        <v>2501</v>
      </c>
      <c r="O261" s="4" t="s">
        <v>2524</v>
      </c>
      <c r="P261" s="4" t="s">
        <v>2619</v>
      </c>
      <c r="Q261" s="4" t="s">
        <v>2733</v>
      </c>
      <c r="R261" s="4"/>
      <c r="S261" s="4"/>
      <c r="T261" s="4" t="str">
        <f>HYPERLINK("http://slimages.macys.com/is/image/MCY/20037171 ")</f>
        <v xml:space="preserve">http://slimages.macys.com/is/image/MCY/20037171 </v>
      </c>
    </row>
    <row r="262" spans="1:20" ht="15" customHeight="1" x14ac:dyDescent="0.25">
      <c r="A262" s="4" t="s">
        <v>2489</v>
      </c>
      <c r="B262" s="2" t="s">
        <v>2487</v>
      </c>
      <c r="C262" s="2" t="s">
        <v>2488</v>
      </c>
      <c r="D262" s="5" t="s">
        <v>2490</v>
      </c>
      <c r="E262" s="4" t="s">
        <v>2491</v>
      </c>
      <c r="F262" s="6">
        <v>14210606</v>
      </c>
      <c r="G262" s="3">
        <v>14210606</v>
      </c>
      <c r="H262" s="7">
        <v>733001130161</v>
      </c>
      <c r="I262" s="8" t="s">
        <v>300</v>
      </c>
      <c r="J262" s="4">
        <v>1</v>
      </c>
      <c r="K262" s="9">
        <v>5.99</v>
      </c>
      <c r="L262" s="9">
        <v>5.99</v>
      </c>
      <c r="M262" s="4" t="s">
        <v>2727</v>
      </c>
      <c r="N262" s="4" t="s">
        <v>2505</v>
      </c>
      <c r="O262" s="4" t="s">
        <v>2650</v>
      </c>
      <c r="P262" s="4" t="s">
        <v>2520</v>
      </c>
      <c r="Q262" s="4" t="s">
        <v>2528</v>
      </c>
      <c r="R262" s="4"/>
      <c r="S262" s="4"/>
      <c r="T262" s="4" t="str">
        <f>HYPERLINK("http://slimages.macys.com/is/image/MCY/19257911 ")</f>
        <v xml:space="preserve">http://slimages.macys.com/is/image/MCY/19257911 </v>
      </c>
    </row>
    <row r="263" spans="1:20" ht="15" customHeight="1" x14ac:dyDescent="0.25">
      <c r="A263" s="4" t="s">
        <v>2489</v>
      </c>
      <c r="B263" s="2" t="s">
        <v>2487</v>
      </c>
      <c r="C263" s="2" t="s">
        <v>2488</v>
      </c>
      <c r="D263" s="5" t="s">
        <v>2490</v>
      </c>
      <c r="E263" s="4" t="s">
        <v>2491</v>
      </c>
      <c r="F263" s="6">
        <v>14210606</v>
      </c>
      <c r="G263" s="3">
        <v>14210606</v>
      </c>
      <c r="H263" s="7">
        <v>840144218882</v>
      </c>
      <c r="I263" s="8" t="s">
        <v>301</v>
      </c>
      <c r="J263" s="4">
        <v>1</v>
      </c>
      <c r="K263" s="9">
        <v>12.99</v>
      </c>
      <c r="L263" s="9">
        <v>12.99</v>
      </c>
      <c r="M263" s="4" t="s">
        <v>302</v>
      </c>
      <c r="N263" s="4"/>
      <c r="O263" s="4" t="s">
        <v>2669</v>
      </c>
      <c r="P263" s="4" t="s">
        <v>2539</v>
      </c>
      <c r="Q263" s="4" t="s">
        <v>2670</v>
      </c>
      <c r="R263" s="4"/>
      <c r="S263" s="4"/>
      <c r="T263" s="4" t="str">
        <f>HYPERLINK("http://slimages.macys.com/is/image/MCY/20138296 ")</f>
        <v xml:space="preserve">http://slimages.macys.com/is/image/MCY/20138296 </v>
      </c>
    </row>
    <row r="264" spans="1:20" ht="15" customHeight="1" x14ac:dyDescent="0.25">
      <c r="A264" s="4" t="s">
        <v>2489</v>
      </c>
      <c r="B264" s="2" t="s">
        <v>2487</v>
      </c>
      <c r="C264" s="2" t="s">
        <v>2488</v>
      </c>
      <c r="D264" s="5" t="s">
        <v>2490</v>
      </c>
      <c r="E264" s="4" t="s">
        <v>2491</v>
      </c>
      <c r="F264" s="6">
        <v>14210606</v>
      </c>
      <c r="G264" s="3">
        <v>14210606</v>
      </c>
      <c r="H264" s="7">
        <v>80538129893</v>
      </c>
      <c r="I264" s="8" t="s">
        <v>1294</v>
      </c>
      <c r="J264" s="4">
        <v>1</v>
      </c>
      <c r="K264" s="9">
        <v>12.99</v>
      </c>
      <c r="L264" s="9">
        <v>12.99</v>
      </c>
      <c r="M264" s="4" t="s">
        <v>2987</v>
      </c>
      <c r="N264" s="4" t="s">
        <v>2567</v>
      </c>
      <c r="O264" s="4" t="s">
        <v>2930</v>
      </c>
      <c r="P264" s="4" t="s">
        <v>2666</v>
      </c>
      <c r="Q264" s="4" t="s">
        <v>2778</v>
      </c>
      <c r="R264" s="4"/>
      <c r="S264" s="4"/>
      <c r="T264" s="4" t="str">
        <f>HYPERLINK("http://slimages.macys.com/is/image/MCY/20052304 ")</f>
        <v xml:space="preserve">http://slimages.macys.com/is/image/MCY/20052304 </v>
      </c>
    </row>
    <row r="265" spans="1:20" ht="15" customHeight="1" x14ac:dyDescent="0.25">
      <c r="A265" s="4" t="s">
        <v>2489</v>
      </c>
      <c r="B265" s="2" t="s">
        <v>2487</v>
      </c>
      <c r="C265" s="2" t="s">
        <v>2488</v>
      </c>
      <c r="D265" s="5" t="s">
        <v>2490</v>
      </c>
      <c r="E265" s="4" t="s">
        <v>2491</v>
      </c>
      <c r="F265" s="6">
        <v>14210606</v>
      </c>
      <c r="G265" s="3">
        <v>14210606</v>
      </c>
      <c r="H265" s="7">
        <v>888133188716</v>
      </c>
      <c r="I265" s="8" t="s">
        <v>303</v>
      </c>
      <c r="J265" s="4">
        <v>1</v>
      </c>
      <c r="K265" s="9">
        <v>39</v>
      </c>
      <c r="L265" s="9">
        <v>39</v>
      </c>
      <c r="M265" s="4" t="s">
        <v>304</v>
      </c>
      <c r="N265" s="4" t="s">
        <v>2497</v>
      </c>
      <c r="O265" s="4">
        <v>2</v>
      </c>
      <c r="P265" s="4" t="s">
        <v>2510</v>
      </c>
      <c r="Q265" s="4" t="s">
        <v>3150</v>
      </c>
      <c r="R265" s="4"/>
      <c r="S265" s="4"/>
      <c r="T265" s="4" t="str">
        <f>HYPERLINK("http://slimages.macys.com/is/image/MCY/19227169 ")</f>
        <v xml:space="preserve">http://slimages.macys.com/is/image/MCY/19227169 </v>
      </c>
    </row>
    <row r="266" spans="1:20" ht="15" customHeight="1" x14ac:dyDescent="0.25">
      <c r="A266" s="4" t="s">
        <v>2489</v>
      </c>
      <c r="B266" s="2" t="s">
        <v>2487</v>
      </c>
      <c r="C266" s="2" t="s">
        <v>2488</v>
      </c>
      <c r="D266" s="5" t="s">
        <v>2490</v>
      </c>
      <c r="E266" s="4" t="s">
        <v>2491</v>
      </c>
      <c r="F266" s="6">
        <v>14210606</v>
      </c>
      <c r="G266" s="3">
        <v>14210606</v>
      </c>
      <c r="H266" s="7">
        <v>47852365659</v>
      </c>
      <c r="I266" s="8" t="s">
        <v>305</v>
      </c>
      <c r="J266" s="4">
        <v>1</v>
      </c>
      <c r="K266" s="9">
        <v>15</v>
      </c>
      <c r="L266" s="9">
        <v>15</v>
      </c>
      <c r="M266" s="4" t="s">
        <v>306</v>
      </c>
      <c r="N266" s="4"/>
      <c r="O266" s="4"/>
      <c r="P266" s="4" t="s">
        <v>2666</v>
      </c>
      <c r="Q266" s="4" t="s">
        <v>307</v>
      </c>
      <c r="R266" s="4"/>
      <c r="S266" s="4"/>
      <c r="T266" s="4" t="str">
        <f>HYPERLINK("http://slimages.macys.com/is/image/MCY/20866637 ")</f>
        <v xml:space="preserve">http://slimages.macys.com/is/image/MCY/20866637 </v>
      </c>
    </row>
    <row r="267" spans="1:20" ht="15" customHeight="1" x14ac:dyDescent="0.25">
      <c r="A267" s="4" t="s">
        <v>2489</v>
      </c>
      <c r="B267" s="2" t="s">
        <v>2487</v>
      </c>
      <c r="C267" s="2" t="s">
        <v>2488</v>
      </c>
      <c r="D267" s="5" t="s">
        <v>2490</v>
      </c>
      <c r="E267" s="4" t="s">
        <v>2491</v>
      </c>
      <c r="F267" s="6">
        <v>14210606</v>
      </c>
      <c r="G267" s="3">
        <v>14210606</v>
      </c>
      <c r="H267" s="7">
        <v>195945273760</v>
      </c>
      <c r="I267" s="8" t="s">
        <v>308</v>
      </c>
      <c r="J267" s="4">
        <v>1</v>
      </c>
      <c r="K267" s="9">
        <v>59</v>
      </c>
      <c r="L267" s="9">
        <v>59</v>
      </c>
      <c r="M267" s="4" t="s">
        <v>1788</v>
      </c>
      <c r="N267" s="4" t="s">
        <v>2526</v>
      </c>
      <c r="O267" s="4" t="s">
        <v>3377</v>
      </c>
      <c r="P267" s="4" t="s">
        <v>2510</v>
      </c>
      <c r="Q267" s="4" t="s">
        <v>2700</v>
      </c>
      <c r="R267" s="4"/>
      <c r="S267" s="4"/>
      <c r="T267" s="4" t="str">
        <f>HYPERLINK("http://slimages.macys.com/is/image/MCY/20037488 ")</f>
        <v xml:space="preserve">http://slimages.macys.com/is/image/MCY/20037488 </v>
      </c>
    </row>
    <row r="268" spans="1:20" ht="15" customHeight="1" x14ac:dyDescent="0.25">
      <c r="A268" s="4" t="s">
        <v>2489</v>
      </c>
      <c r="B268" s="2" t="s">
        <v>2487</v>
      </c>
      <c r="C268" s="2" t="s">
        <v>2488</v>
      </c>
      <c r="D268" s="5" t="s">
        <v>2490</v>
      </c>
      <c r="E268" s="4" t="s">
        <v>2491</v>
      </c>
      <c r="F268" s="6">
        <v>14210606</v>
      </c>
      <c r="G268" s="3">
        <v>14210606</v>
      </c>
      <c r="H268" s="7">
        <v>194257256409</v>
      </c>
      <c r="I268" s="8" t="s">
        <v>309</v>
      </c>
      <c r="J268" s="4">
        <v>1</v>
      </c>
      <c r="K268" s="9">
        <v>7.99</v>
      </c>
      <c r="L268" s="9">
        <v>7.99</v>
      </c>
      <c r="M268" s="4" t="s">
        <v>310</v>
      </c>
      <c r="N268" s="4" t="s">
        <v>2531</v>
      </c>
      <c r="O268" s="4" t="s">
        <v>2705</v>
      </c>
      <c r="P268" s="4" t="s">
        <v>2499</v>
      </c>
      <c r="Q268" s="4" t="s">
        <v>2525</v>
      </c>
      <c r="R268" s="4"/>
      <c r="S268" s="4"/>
      <c r="T268" s="4" t="str">
        <f>HYPERLINK("http://slimages.macys.com/is/image/MCY/18664008 ")</f>
        <v xml:space="preserve">http://slimages.macys.com/is/image/MCY/18664008 </v>
      </c>
    </row>
    <row r="269" spans="1:20" ht="15" customHeight="1" x14ac:dyDescent="0.25">
      <c r="A269" s="4" t="s">
        <v>2489</v>
      </c>
      <c r="B269" s="2" t="s">
        <v>2487</v>
      </c>
      <c r="C269" s="2" t="s">
        <v>2488</v>
      </c>
      <c r="D269" s="5" t="s">
        <v>2490</v>
      </c>
      <c r="E269" s="4" t="s">
        <v>2491</v>
      </c>
      <c r="F269" s="6">
        <v>14210606</v>
      </c>
      <c r="G269" s="3">
        <v>14210606</v>
      </c>
      <c r="H269" s="7">
        <v>194257392398</v>
      </c>
      <c r="I269" s="8" t="s">
        <v>3242</v>
      </c>
      <c r="J269" s="4">
        <v>1</v>
      </c>
      <c r="K269" s="9">
        <v>16.989999999999998</v>
      </c>
      <c r="L269" s="9">
        <v>16.989999999999998</v>
      </c>
      <c r="M269" s="4" t="s">
        <v>2712</v>
      </c>
      <c r="N269" s="4" t="s">
        <v>2497</v>
      </c>
      <c r="O269" s="4">
        <v>4</v>
      </c>
      <c r="P269" s="4" t="s">
        <v>2499</v>
      </c>
      <c r="Q269" s="4" t="s">
        <v>2525</v>
      </c>
      <c r="R269" s="4"/>
      <c r="S269" s="4"/>
      <c r="T269" s="4" t="str">
        <f>HYPERLINK("http://slimages.macys.com/is/image/MCY/19065667 ")</f>
        <v xml:space="preserve">http://slimages.macys.com/is/image/MCY/19065667 </v>
      </c>
    </row>
    <row r="270" spans="1:20" ht="15" customHeight="1" x14ac:dyDescent="0.25">
      <c r="A270" s="4" t="s">
        <v>2489</v>
      </c>
      <c r="B270" s="2" t="s">
        <v>2487</v>
      </c>
      <c r="C270" s="2" t="s">
        <v>2488</v>
      </c>
      <c r="D270" s="5" t="s">
        <v>2490</v>
      </c>
      <c r="E270" s="4" t="s">
        <v>2491</v>
      </c>
      <c r="F270" s="6">
        <v>14210606</v>
      </c>
      <c r="G270" s="3">
        <v>14210606</v>
      </c>
      <c r="H270" s="7">
        <v>194257388681</v>
      </c>
      <c r="I270" s="8" t="s">
        <v>311</v>
      </c>
      <c r="J270" s="4">
        <v>1</v>
      </c>
      <c r="K270" s="9">
        <v>8.99</v>
      </c>
      <c r="L270" s="9">
        <v>8.99</v>
      </c>
      <c r="M270" s="4" t="s">
        <v>3338</v>
      </c>
      <c r="N270" s="4" t="s">
        <v>2501</v>
      </c>
      <c r="O270" s="4">
        <v>4</v>
      </c>
      <c r="P270" s="4" t="s">
        <v>2499</v>
      </c>
      <c r="Q270" s="4" t="s">
        <v>2525</v>
      </c>
      <c r="R270" s="4"/>
      <c r="S270" s="4"/>
      <c r="T270" s="4" t="str">
        <f>HYPERLINK("http://slimages.macys.com/is/image/MCY/19944411 ")</f>
        <v xml:space="preserve">http://slimages.macys.com/is/image/MCY/19944411 </v>
      </c>
    </row>
    <row r="271" spans="1:20" ht="15" customHeight="1" x14ac:dyDescent="0.25">
      <c r="A271" s="4" t="s">
        <v>2489</v>
      </c>
      <c r="B271" s="2" t="s">
        <v>2487</v>
      </c>
      <c r="C271" s="2" t="s">
        <v>2488</v>
      </c>
      <c r="D271" s="5" t="s">
        <v>2490</v>
      </c>
      <c r="E271" s="4" t="s">
        <v>2491</v>
      </c>
      <c r="F271" s="6">
        <v>14210606</v>
      </c>
      <c r="G271" s="3">
        <v>14210606</v>
      </c>
      <c r="H271" s="7">
        <v>733003642723</v>
      </c>
      <c r="I271" s="8" t="s">
        <v>483</v>
      </c>
      <c r="J271" s="4">
        <v>2</v>
      </c>
      <c r="K271" s="9">
        <v>22.99</v>
      </c>
      <c r="L271" s="9">
        <v>45.98</v>
      </c>
      <c r="M271" s="4" t="s">
        <v>2513</v>
      </c>
      <c r="N271" s="4" t="s">
        <v>2514</v>
      </c>
      <c r="O271" s="4" t="s">
        <v>2555</v>
      </c>
      <c r="P271" s="4" t="s">
        <v>2515</v>
      </c>
      <c r="Q271" s="4" t="s">
        <v>2516</v>
      </c>
      <c r="R271" s="4"/>
      <c r="S271" s="4"/>
      <c r="T271" s="4" t="str">
        <f>HYPERLINK("http://slimages.macys.com/is/image/MCY/20008078 ")</f>
        <v xml:space="preserve">http://slimages.macys.com/is/image/MCY/20008078 </v>
      </c>
    </row>
    <row r="272" spans="1:20" ht="15" customHeight="1" x14ac:dyDescent="0.25">
      <c r="A272" s="4" t="s">
        <v>2489</v>
      </c>
      <c r="B272" s="2" t="s">
        <v>2487</v>
      </c>
      <c r="C272" s="2" t="s">
        <v>2488</v>
      </c>
      <c r="D272" s="5" t="s">
        <v>2490</v>
      </c>
      <c r="E272" s="4" t="s">
        <v>2491</v>
      </c>
      <c r="F272" s="6">
        <v>14210606</v>
      </c>
      <c r="G272" s="3">
        <v>14210606</v>
      </c>
      <c r="H272" s="7">
        <v>733003926809</v>
      </c>
      <c r="I272" s="8" t="s">
        <v>2704</v>
      </c>
      <c r="J272" s="4">
        <v>2</v>
      </c>
      <c r="K272" s="9">
        <v>5.99</v>
      </c>
      <c r="L272" s="9">
        <v>11.98</v>
      </c>
      <c r="M272" s="4" t="s">
        <v>1632</v>
      </c>
      <c r="N272" s="4" t="s">
        <v>2600</v>
      </c>
      <c r="O272" s="4" t="s">
        <v>2493</v>
      </c>
      <c r="P272" s="4" t="s">
        <v>2503</v>
      </c>
      <c r="Q272" s="4" t="s">
        <v>2504</v>
      </c>
      <c r="R272" s="4"/>
      <c r="S272" s="4"/>
      <c r="T272" s="4" t="str">
        <f>HYPERLINK("http://slimages.macys.com/is/image/MCY/903950 ")</f>
        <v xml:space="preserve">http://slimages.macys.com/is/image/MCY/903950 </v>
      </c>
    </row>
    <row r="273" spans="1:20" ht="15" customHeight="1" x14ac:dyDescent="0.25">
      <c r="A273" s="4" t="s">
        <v>2489</v>
      </c>
      <c r="B273" s="2" t="s">
        <v>2487</v>
      </c>
      <c r="C273" s="2" t="s">
        <v>2488</v>
      </c>
      <c r="D273" s="5" t="s">
        <v>2490</v>
      </c>
      <c r="E273" s="4" t="s">
        <v>2491</v>
      </c>
      <c r="F273" s="6">
        <v>14210606</v>
      </c>
      <c r="G273" s="3">
        <v>14210606</v>
      </c>
      <c r="H273" s="7">
        <v>762120086325</v>
      </c>
      <c r="I273" s="8" t="s">
        <v>1115</v>
      </c>
      <c r="J273" s="4">
        <v>1</v>
      </c>
      <c r="K273" s="9">
        <v>7.99</v>
      </c>
      <c r="L273" s="9">
        <v>7.99</v>
      </c>
      <c r="M273" s="4" t="s">
        <v>2030</v>
      </c>
      <c r="N273" s="4" t="s">
        <v>2501</v>
      </c>
      <c r="O273" s="4" t="s">
        <v>2629</v>
      </c>
      <c r="P273" s="4" t="s">
        <v>2602</v>
      </c>
      <c r="Q273" s="4" t="s">
        <v>2528</v>
      </c>
      <c r="R273" s="4"/>
      <c r="S273" s="4"/>
      <c r="T273" s="4" t="str">
        <f>HYPERLINK("http://slimages.macys.com/is/image/MCY/20691841 ")</f>
        <v xml:space="preserve">http://slimages.macys.com/is/image/MCY/20691841 </v>
      </c>
    </row>
    <row r="274" spans="1:20" ht="15" customHeight="1" x14ac:dyDescent="0.25">
      <c r="A274" s="4" t="s">
        <v>2489</v>
      </c>
      <c r="B274" s="2" t="s">
        <v>2487</v>
      </c>
      <c r="C274" s="2" t="s">
        <v>2488</v>
      </c>
      <c r="D274" s="5" t="s">
        <v>2490</v>
      </c>
      <c r="E274" s="4" t="s">
        <v>2491</v>
      </c>
      <c r="F274" s="6">
        <v>14210606</v>
      </c>
      <c r="G274" s="3">
        <v>14210606</v>
      </c>
      <c r="H274" s="7">
        <v>733004765025</v>
      </c>
      <c r="I274" s="8" t="s">
        <v>3427</v>
      </c>
      <c r="J274" s="4">
        <v>2</v>
      </c>
      <c r="K274" s="9">
        <v>21.99</v>
      </c>
      <c r="L274" s="9">
        <v>43.98</v>
      </c>
      <c r="M274" s="4" t="s">
        <v>3428</v>
      </c>
      <c r="N274" s="4" t="s">
        <v>2598</v>
      </c>
      <c r="O274" s="4" t="s">
        <v>2498</v>
      </c>
      <c r="P274" s="4" t="s">
        <v>2515</v>
      </c>
      <c r="Q274" s="4" t="s">
        <v>2672</v>
      </c>
      <c r="R274" s="4"/>
      <c r="S274" s="4"/>
      <c r="T274" s="4" t="str">
        <f>HYPERLINK("http://slimages.macys.com/is/image/MCY/20530565 ")</f>
        <v xml:space="preserve">http://slimages.macys.com/is/image/MCY/20530565 </v>
      </c>
    </row>
    <row r="275" spans="1:20" ht="15" customHeight="1" x14ac:dyDescent="0.25">
      <c r="A275" s="4" t="s">
        <v>2489</v>
      </c>
      <c r="B275" s="2" t="s">
        <v>2487</v>
      </c>
      <c r="C275" s="2" t="s">
        <v>2488</v>
      </c>
      <c r="D275" s="5" t="s">
        <v>2490</v>
      </c>
      <c r="E275" s="4" t="s">
        <v>2491</v>
      </c>
      <c r="F275" s="6">
        <v>14210606</v>
      </c>
      <c r="G275" s="3">
        <v>14210606</v>
      </c>
      <c r="H275" s="7">
        <v>733004765001</v>
      </c>
      <c r="I275" s="8" t="s">
        <v>1250</v>
      </c>
      <c r="J275" s="4">
        <v>1</v>
      </c>
      <c r="K275" s="9">
        <v>21.99</v>
      </c>
      <c r="L275" s="9">
        <v>21.99</v>
      </c>
      <c r="M275" s="4" t="s">
        <v>3428</v>
      </c>
      <c r="N275" s="4" t="s">
        <v>2598</v>
      </c>
      <c r="O275" s="4" t="s">
        <v>2519</v>
      </c>
      <c r="P275" s="4" t="s">
        <v>2515</v>
      </c>
      <c r="Q275" s="4" t="s">
        <v>2672</v>
      </c>
      <c r="R275" s="4"/>
      <c r="S275" s="4"/>
      <c r="T275" s="4" t="str">
        <f>HYPERLINK("http://slimages.macys.com/is/image/MCY/20530565 ")</f>
        <v xml:space="preserve">http://slimages.macys.com/is/image/MCY/20530565 </v>
      </c>
    </row>
    <row r="276" spans="1:20" ht="15" customHeight="1" x14ac:dyDescent="0.25">
      <c r="A276" s="4" t="s">
        <v>2489</v>
      </c>
      <c r="B276" s="2" t="s">
        <v>2487</v>
      </c>
      <c r="C276" s="2" t="s">
        <v>2488</v>
      </c>
      <c r="D276" s="5" t="s">
        <v>2490</v>
      </c>
      <c r="E276" s="4" t="s">
        <v>2491</v>
      </c>
      <c r="F276" s="6">
        <v>14210606</v>
      </c>
      <c r="G276" s="3">
        <v>14210606</v>
      </c>
      <c r="H276" s="7">
        <v>733004779046</v>
      </c>
      <c r="I276" s="8" t="s">
        <v>1179</v>
      </c>
      <c r="J276" s="4">
        <v>1</v>
      </c>
      <c r="K276" s="9">
        <v>7.99</v>
      </c>
      <c r="L276" s="9">
        <v>7.99</v>
      </c>
      <c r="M276" s="4" t="s">
        <v>1180</v>
      </c>
      <c r="N276" s="4" t="s">
        <v>2632</v>
      </c>
      <c r="O276" s="4" t="s">
        <v>2629</v>
      </c>
      <c r="P276" s="4" t="s">
        <v>2602</v>
      </c>
      <c r="Q276" s="4" t="s">
        <v>2528</v>
      </c>
      <c r="R276" s="4"/>
      <c r="S276" s="4"/>
      <c r="T276" s="4" t="str">
        <f>HYPERLINK("http://slimages.macys.com/is/image/MCY/20450147 ")</f>
        <v xml:space="preserve">http://slimages.macys.com/is/image/MCY/20450147 </v>
      </c>
    </row>
    <row r="277" spans="1:20" ht="15" customHeight="1" x14ac:dyDescent="0.25">
      <c r="A277" s="4" t="s">
        <v>2489</v>
      </c>
      <c r="B277" s="2" t="s">
        <v>2487</v>
      </c>
      <c r="C277" s="2" t="s">
        <v>2488</v>
      </c>
      <c r="D277" s="5" t="s">
        <v>2490</v>
      </c>
      <c r="E277" s="4" t="s">
        <v>2491</v>
      </c>
      <c r="F277" s="6">
        <v>14210606</v>
      </c>
      <c r="G277" s="3">
        <v>14210606</v>
      </c>
      <c r="H277" s="7">
        <v>492030649210</v>
      </c>
      <c r="I277" s="8" t="s">
        <v>1243</v>
      </c>
      <c r="J277" s="4">
        <v>1</v>
      </c>
      <c r="K277" s="9">
        <v>7.5</v>
      </c>
      <c r="L277" s="9">
        <v>7.5</v>
      </c>
      <c r="M277" s="4" t="s">
        <v>1244</v>
      </c>
      <c r="N277" s="4" t="s">
        <v>2769</v>
      </c>
      <c r="O277" s="4" t="s">
        <v>2669</v>
      </c>
      <c r="P277" s="4" t="s">
        <v>2503</v>
      </c>
      <c r="Q277" s="4" t="s">
        <v>2504</v>
      </c>
      <c r="R277" s="4"/>
      <c r="S277" s="4"/>
      <c r="T277" s="4"/>
    </row>
    <row r="278" spans="1:20" ht="15" customHeight="1" x14ac:dyDescent="0.25">
      <c r="A278" s="4" t="s">
        <v>2489</v>
      </c>
      <c r="B278" s="2" t="s">
        <v>2487</v>
      </c>
      <c r="C278" s="2" t="s">
        <v>2488</v>
      </c>
      <c r="D278" s="5" t="s">
        <v>2490</v>
      </c>
      <c r="E278" s="4" t="s">
        <v>2491</v>
      </c>
      <c r="F278" s="6">
        <v>14210606</v>
      </c>
      <c r="G278" s="3">
        <v>14210606</v>
      </c>
      <c r="H278" s="7">
        <v>733004739767</v>
      </c>
      <c r="I278" s="8" t="s">
        <v>312</v>
      </c>
      <c r="J278" s="4">
        <v>1</v>
      </c>
      <c r="K278" s="9">
        <v>6.99</v>
      </c>
      <c r="L278" s="9">
        <v>6.99</v>
      </c>
      <c r="M278" s="4" t="s">
        <v>1985</v>
      </c>
      <c r="N278" s="4" t="s">
        <v>2531</v>
      </c>
      <c r="O278" s="4" t="s">
        <v>2566</v>
      </c>
      <c r="P278" s="4" t="s">
        <v>2503</v>
      </c>
      <c r="Q278" s="4" t="s">
        <v>2504</v>
      </c>
      <c r="R278" s="4"/>
      <c r="S278" s="4"/>
      <c r="T278" s="4" t="str">
        <f>HYPERLINK("http://slimages.macys.com/is/image/MCY/20466473 ")</f>
        <v xml:space="preserve">http://slimages.macys.com/is/image/MCY/20466473 </v>
      </c>
    </row>
    <row r="279" spans="1:20" ht="15" customHeight="1" x14ac:dyDescent="0.25">
      <c r="A279" s="4" t="s">
        <v>2489</v>
      </c>
      <c r="B279" s="2" t="s">
        <v>2487</v>
      </c>
      <c r="C279" s="2" t="s">
        <v>2488</v>
      </c>
      <c r="D279" s="5" t="s">
        <v>2490</v>
      </c>
      <c r="E279" s="4" t="s">
        <v>2491</v>
      </c>
      <c r="F279" s="6">
        <v>14210606</v>
      </c>
      <c r="G279" s="3">
        <v>14210606</v>
      </c>
      <c r="H279" s="7">
        <v>762120084772</v>
      </c>
      <c r="I279" s="8" t="s">
        <v>3391</v>
      </c>
      <c r="J279" s="4">
        <v>1</v>
      </c>
      <c r="K279" s="9">
        <v>7.99</v>
      </c>
      <c r="L279" s="9">
        <v>7.99</v>
      </c>
      <c r="M279" s="4" t="s">
        <v>2756</v>
      </c>
      <c r="N279" s="4" t="s">
        <v>2501</v>
      </c>
      <c r="O279" s="4">
        <v>5</v>
      </c>
      <c r="P279" s="4" t="s">
        <v>2602</v>
      </c>
      <c r="Q279" s="4" t="s">
        <v>2528</v>
      </c>
      <c r="R279" s="4"/>
      <c r="S279" s="4"/>
      <c r="T279" s="4" t="str">
        <f>HYPERLINK("http://slimages.macys.com/is/image/MCY/1088549 ")</f>
        <v xml:space="preserve">http://slimages.macys.com/is/image/MCY/1088549 </v>
      </c>
    </row>
    <row r="280" spans="1:20" ht="15" customHeight="1" x14ac:dyDescent="0.25">
      <c r="A280" s="4" t="s">
        <v>2489</v>
      </c>
      <c r="B280" s="2" t="s">
        <v>2487</v>
      </c>
      <c r="C280" s="2" t="s">
        <v>2488</v>
      </c>
      <c r="D280" s="5" t="s">
        <v>2490</v>
      </c>
      <c r="E280" s="4" t="s">
        <v>2491</v>
      </c>
      <c r="F280" s="6">
        <v>14210606</v>
      </c>
      <c r="G280" s="3">
        <v>14210606</v>
      </c>
      <c r="H280" s="7">
        <v>762120121767</v>
      </c>
      <c r="I280" s="8" t="s">
        <v>1920</v>
      </c>
      <c r="J280" s="4">
        <v>1</v>
      </c>
      <c r="K280" s="9">
        <v>5.99</v>
      </c>
      <c r="L280" s="9">
        <v>5.99</v>
      </c>
      <c r="M280" s="4" t="s">
        <v>2926</v>
      </c>
      <c r="N280" s="4" t="s">
        <v>2501</v>
      </c>
      <c r="O280" s="4" t="s">
        <v>2502</v>
      </c>
      <c r="P280" s="4" t="s">
        <v>2503</v>
      </c>
      <c r="Q280" s="4" t="s">
        <v>2504</v>
      </c>
      <c r="R280" s="4"/>
      <c r="S280" s="4"/>
      <c r="T280" s="4" t="str">
        <f>HYPERLINK("http://slimages.macys.com/is/image/MCY/20386376 ")</f>
        <v xml:space="preserve">http://slimages.macys.com/is/image/MCY/20386376 </v>
      </c>
    </row>
    <row r="281" spans="1:20" ht="15" customHeight="1" x14ac:dyDescent="0.25">
      <c r="A281" s="4" t="s">
        <v>2489</v>
      </c>
      <c r="B281" s="2" t="s">
        <v>2487</v>
      </c>
      <c r="C281" s="2" t="s">
        <v>2488</v>
      </c>
      <c r="D281" s="5" t="s">
        <v>2490</v>
      </c>
      <c r="E281" s="4" t="s">
        <v>2491</v>
      </c>
      <c r="F281" s="6">
        <v>14210606</v>
      </c>
      <c r="G281" s="3">
        <v>14210606</v>
      </c>
      <c r="H281" s="7">
        <v>192042807508</v>
      </c>
      <c r="I281" s="8" t="s">
        <v>313</v>
      </c>
      <c r="J281" s="4">
        <v>1</v>
      </c>
      <c r="K281" s="9">
        <v>14</v>
      </c>
      <c r="L281" s="9">
        <v>14</v>
      </c>
      <c r="M281" s="4" t="s">
        <v>1625</v>
      </c>
      <c r="N281" s="4" t="s">
        <v>2508</v>
      </c>
      <c r="O281" s="4"/>
      <c r="P281" s="4" t="s">
        <v>2622</v>
      </c>
      <c r="Q281" s="4" t="s">
        <v>2623</v>
      </c>
      <c r="R281" s="4" t="s">
        <v>2552</v>
      </c>
      <c r="S281" s="4" t="s">
        <v>2771</v>
      </c>
      <c r="T281" s="4" t="str">
        <f>HYPERLINK("http://slimages.macys.com/is/image/MCY/13914363 ")</f>
        <v xml:space="preserve">http://slimages.macys.com/is/image/MCY/13914363 </v>
      </c>
    </row>
    <row r="282" spans="1:20" ht="15" customHeight="1" x14ac:dyDescent="0.25">
      <c r="A282" s="4" t="s">
        <v>2489</v>
      </c>
      <c r="B282" s="2" t="s">
        <v>2487</v>
      </c>
      <c r="C282" s="2" t="s">
        <v>2488</v>
      </c>
      <c r="D282" s="5" t="s">
        <v>2490</v>
      </c>
      <c r="E282" s="4" t="s">
        <v>2491</v>
      </c>
      <c r="F282" s="6">
        <v>14210606</v>
      </c>
      <c r="G282" s="3">
        <v>14210606</v>
      </c>
      <c r="H282" s="7">
        <v>192042807621</v>
      </c>
      <c r="I282" s="8" t="s">
        <v>314</v>
      </c>
      <c r="J282" s="4">
        <v>1</v>
      </c>
      <c r="K282" s="9">
        <v>14</v>
      </c>
      <c r="L282" s="9">
        <v>14</v>
      </c>
      <c r="M282" s="4" t="s">
        <v>3257</v>
      </c>
      <c r="N282" s="4" t="s">
        <v>2731</v>
      </c>
      <c r="O282" s="4"/>
      <c r="P282" s="4" t="s">
        <v>2622</v>
      </c>
      <c r="Q282" s="4" t="s">
        <v>2623</v>
      </c>
      <c r="R282" s="4" t="s">
        <v>2552</v>
      </c>
      <c r="S282" s="4" t="s">
        <v>2771</v>
      </c>
      <c r="T282" s="4" t="str">
        <f>HYPERLINK("http://slimages.macys.com/is/image/MCY/13914363 ")</f>
        <v xml:space="preserve">http://slimages.macys.com/is/image/MCY/13914363 </v>
      </c>
    </row>
    <row r="283" spans="1:20" ht="15" customHeight="1" x14ac:dyDescent="0.25">
      <c r="A283" s="4" t="s">
        <v>2489</v>
      </c>
      <c r="B283" s="2" t="s">
        <v>2487</v>
      </c>
      <c r="C283" s="2" t="s">
        <v>2488</v>
      </c>
      <c r="D283" s="5" t="s">
        <v>2490</v>
      </c>
      <c r="E283" s="4" t="s">
        <v>2491</v>
      </c>
      <c r="F283" s="6">
        <v>14210606</v>
      </c>
      <c r="G283" s="3">
        <v>14210606</v>
      </c>
      <c r="H283" s="7">
        <v>733004722844</v>
      </c>
      <c r="I283" s="8" t="s">
        <v>315</v>
      </c>
      <c r="J283" s="4">
        <v>1</v>
      </c>
      <c r="K283" s="9">
        <v>28.99</v>
      </c>
      <c r="L283" s="9">
        <v>28.99</v>
      </c>
      <c r="M283" s="4" t="s">
        <v>3201</v>
      </c>
      <c r="N283" s="4" t="s">
        <v>2531</v>
      </c>
      <c r="O283" s="4" t="s">
        <v>2601</v>
      </c>
      <c r="P283" s="4" t="s">
        <v>2503</v>
      </c>
      <c r="Q283" s="4" t="s">
        <v>2504</v>
      </c>
      <c r="R283" s="4"/>
      <c r="S283" s="4"/>
      <c r="T283" s="4" t="str">
        <f>HYPERLINK("http://slimages.macys.com/is/image/MCY/19977928 ")</f>
        <v xml:space="preserve">http://slimages.macys.com/is/image/MCY/19977928 </v>
      </c>
    </row>
    <row r="284" spans="1:20" ht="15" customHeight="1" x14ac:dyDescent="0.25">
      <c r="A284" s="4" t="s">
        <v>2489</v>
      </c>
      <c r="B284" s="2" t="s">
        <v>2487</v>
      </c>
      <c r="C284" s="2" t="s">
        <v>2488</v>
      </c>
      <c r="D284" s="5" t="s">
        <v>2490</v>
      </c>
      <c r="E284" s="4" t="s">
        <v>2491</v>
      </c>
      <c r="F284" s="6">
        <v>14210606</v>
      </c>
      <c r="G284" s="3">
        <v>14210606</v>
      </c>
      <c r="H284" s="7">
        <v>733004779282</v>
      </c>
      <c r="I284" s="8" t="s">
        <v>316</v>
      </c>
      <c r="J284" s="4">
        <v>1</v>
      </c>
      <c r="K284" s="9">
        <v>7.99</v>
      </c>
      <c r="L284" s="9">
        <v>7.99</v>
      </c>
      <c r="M284" s="4" t="s">
        <v>2292</v>
      </c>
      <c r="N284" s="4" t="s">
        <v>2501</v>
      </c>
      <c r="O284" s="4" t="s">
        <v>2629</v>
      </c>
      <c r="P284" s="4" t="s">
        <v>2602</v>
      </c>
      <c r="Q284" s="4" t="s">
        <v>2528</v>
      </c>
      <c r="R284" s="4"/>
      <c r="S284" s="4"/>
      <c r="T284" s="4" t="str">
        <f>HYPERLINK("http://slimages.macys.com/is/image/MCY/1106903 ")</f>
        <v xml:space="preserve">http://slimages.macys.com/is/image/MCY/1106903 </v>
      </c>
    </row>
    <row r="285" spans="1:20" ht="15" customHeight="1" x14ac:dyDescent="0.25">
      <c r="A285" s="4" t="s">
        <v>2489</v>
      </c>
      <c r="B285" s="2" t="s">
        <v>2487</v>
      </c>
      <c r="C285" s="2" t="s">
        <v>2488</v>
      </c>
      <c r="D285" s="5" t="s">
        <v>2490</v>
      </c>
      <c r="E285" s="4" t="s">
        <v>2491</v>
      </c>
      <c r="F285" s="6">
        <v>14210606</v>
      </c>
      <c r="G285" s="3">
        <v>14210606</v>
      </c>
      <c r="H285" s="7">
        <v>733004801365</v>
      </c>
      <c r="I285" s="8" t="s">
        <v>317</v>
      </c>
      <c r="J285" s="4">
        <v>1</v>
      </c>
      <c r="K285" s="9">
        <v>12.99</v>
      </c>
      <c r="L285" s="9">
        <v>12.99</v>
      </c>
      <c r="M285" s="4" t="s">
        <v>1792</v>
      </c>
      <c r="N285" s="4" t="s">
        <v>2561</v>
      </c>
      <c r="O285" s="4" t="s">
        <v>2629</v>
      </c>
      <c r="P285" s="4" t="s">
        <v>2602</v>
      </c>
      <c r="Q285" s="4" t="s">
        <v>2528</v>
      </c>
      <c r="R285" s="4"/>
      <c r="S285" s="4"/>
      <c r="T285" s="4" t="str">
        <f>HYPERLINK("http://slimages.macys.com/is/image/MCY/1059791 ")</f>
        <v xml:space="preserve">http://slimages.macys.com/is/image/MCY/1059791 </v>
      </c>
    </row>
    <row r="286" spans="1:20" ht="15" customHeight="1" x14ac:dyDescent="0.25">
      <c r="A286" s="4" t="s">
        <v>2489</v>
      </c>
      <c r="B286" s="2" t="s">
        <v>2487</v>
      </c>
      <c r="C286" s="2" t="s">
        <v>2488</v>
      </c>
      <c r="D286" s="5" t="s">
        <v>2490</v>
      </c>
      <c r="E286" s="4" t="s">
        <v>2491</v>
      </c>
      <c r="F286" s="6">
        <v>14210606</v>
      </c>
      <c r="G286" s="3">
        <v>14210606</v>
      </c>
      <c r="H286" s="7">
        <v>733004780691</v>
      </c>
      <c r="I286" s="8" t="s">
        <v>3246</v>
      </c>
      <c r="J286" s="4">
        <v>1</v>
      </c>
      <c r="K286" s="9">
        <v>11.99</v>
      </c>
      <c r="L286" s="9">
        <v>11.99</v>
      </c>
      <c r="M286" s="4" t="s">
        <v>3083</v>
      </c>
      <c r="N286" s="4" t="s">
        <v>2638</v>
      </c>
      <c r="O286" s="4" t="s">
        <v>2650</v>
      </c>
      <c r="P286" s="4" t="s">
        <v>2602</v>
      </c>
      <c r="Q286" s="4" t="s">
        <v>2528</v>
      </c>
      <c r="R286" s="4"/>
      <c r="S286" s="4"/>
      <c r="T286" s="4" t="str">
        <f>HYPERLINK("http://slimages.macys.com/is/image/MCY/20450174 ")</f>
        <v xml:space="preserve">http://slimages.macys.com/is/image/MCY/20450174 </v>
      </c>
    </row>
    <row r="287" spans="1:20" ht="15" customHeight="1" x14ac:dyDescent="0.25">
      <c r="A287" s="4" t="s">
        <v>2489</v>
      </c>
      <c r="B287" s="2" t="s">
        <v>2487</v>
      </c>
      <c r="C287" s="2" t="s">
        <v>2488</v>
      </c>
      <c r="D287" s="5" t="s">
        <v>2490</v>
      </c>
      <c r="E287" s="4" t="s">
        <v>2491</v>
      </c>
      <c r="F287" s="6">
        <v>14210606</v>
      </c>
      <c r="G287" s="3">
        <v>14210606</v>
      </c>
      <c r="H287" s="7">
        <v>733004800399</v>
      </c>
      <c r="I287" s="8" t="s">
        <v>3072</v>
      </c>
      <c r="J287" s="4">
        <v>1</v>
      </c>
      <c r="K287" s="9">
        <v>12.99</v>
      </c>
      <c r="L287" s="9">
        <v>12.99</v>
      </c>
      <c r="M287" s="4" t="s">
        <v>2724</v>
      </c>
      <c r="N287" s="4" t="s">
        <v>2523</v>
      </c>
      <c r="O287" s="4" t="s">
        <v>2629</v>
      </c>
      <c r="P287" s="4" t="s">
        <v>2602</v>
      </c>
      <c r="Q287" s="4" t="s">
        <v>2528</v>
      </c>
      <c r="R287" s="4"/>
      <c r="S287" s="4"/>
      <c r="T287" s="4" t="str">
        <f>HYPERLINK("http://slimages.macys.com/is/image/MCY/1046493 ")</f>
        <v xml:space="preserve">http://slimages.macys.com/is/image/MCY/1046493 </v>
      </c>
    </row>
    <row r="288" spans="1:20" ht="15" customHeight="1" x14ac:dyDescent="0.25">
      <c r="A288" s="4" t="s">
        <v>2489</v>
      </c>
      <c r="B288" s="2" t="s">
        <v>2487</v>
      </c>
      <c r="C288" s="2" t="s">
        <v>2488</v>
      </c>
      <c r="D288" s="5" t="s">
        <v>2490</v>
      </c>
      <c r="E288" s="4" t="s">
        <v>2491</v>
      </c>
      <c r="F288" s="6">
        <v>14210606</v>
      </c>
      <c r="G288" s="3">
        <v>14210606</v>
      </c>
      <c r="H288" s="7">
        <v>194257621627</v>
      </c>
      <c r="I288" s="8" t="s">
        <v>2711</v>
      </c>
      <c r="J288" s="4">
        <v>1</v>
      </c>
      <c r="K288" s="9">
        <v>16.989999999999998</v>
      </c>
      <c r="L288" s="9">
        <v>16.989999999999998</v>
      </c>
      <c r="M288" s="4" t="s">
        <v>2712</v>
      </c>
      <c r="N288" s="4" t="s">
        <v>2523</v>
      </c>
      <c r="O288" s="4">
        <v>4</v>
      </c>
      <c r="P288" s="4" t="s">
        <v>2499</v>
      </c>
      <c r="Q288" s="4" t="s">
        <v>2525</v>
      </c>
      <c r="R288" s="4"/>
      <c r="S288" s="4"/>
      <c r="T288" s="4" t="str">
        <f>HYPERLINK("http://slimages.macys.com/is/image/MCY/20417775 ")</f>
        <v xml:space="preserve">http://slimages.macys.com/is/image/MCY/20417775 </v>
      </c>
    </row>
    <row r="289" spans="1:20" ht="15" customHeight="1" x14ac:dyDescent="0.25">
      <c r="A289" s="4" t="s">
        <v>2489</v>
      </c>
      <c r="B289" s="2" t="s">
        <v>2487</v>
      </c>
      <c r="C289" s="2" t="s">
        <v>2488</v>
      </c>
      <c r="D289" s="5" t="s">
        <v>2490</v>
      </c>
      <c r="E289" s="4" t="s">
        <v>2491</v>
      </c>
      <c r="F289" s="6">
        <v>14210606</v>
      </c>
      <c r="G289" s="3">
        <v>14210606</v>
      </c>
      <c r="H289" s="7">
        <v>195883653464</v>
      </c>
      <c r="I289" s="8" t="s">
        <v>318</v>
      </c>
      <c r="J289" s="4">
        <v>1</v>
      </c>
      <c r="K289" s="9">
        <v>9.99</v>
      </c>
      <c r="L289" s="9">
        <v>9.99</v>
      </c>
      <c r="M289" s="4" t="s">
        <v>319</v>
      </c>
      <c r="N289" s="4" t="s">
        <v>2526</v>
      </c>
      <c r="O289" s="4" t="s">
        <v>2498</v>
      </c>
      <c r="P289" s="4" t="s">
        <v>2556</v>
      </c>
      <c r="Q289" s="4" t="s">
        <v>2527</v>
      </c>
      <c r="R289" s="4"/>
      <c r="S289" s="4"/>
      <c r="T289" s="4" t="str">
        <f>HYPERLINK("http://slimages.macys.com/is/image/MCY/20732899 ")</f>
        <v xml:space="preserve">http://slimages.macys.com/is/image/MCY/20732899 </v>
      </c>
    </row>
    <row r="290" spans="1:20" ht="15" customHeight="1" x14ac:dyDescent="0.25">
      <c r="A290" s="4" t="s">
        <v>2489</v>
      </c>
      <c r="B290" s="2" t="s">
        <v>2487</v>
      </c>
      <c r="C290" s="2" t="s">
        <v>2488</v>
      </c>
      <c r="D290" s="5" t="s">
        <v>2490</v>
      </c>
      <c r="E290" s="4" t="s">
        <v>2491</v>
      </c>
      <c r="F290" s="6">
        <v>14210606</v>
      </c>
      <c r="G290" s="3">
        <v>14210606</v>
      </c>
      <c r="H290" s="7">
        <v>194135466135</v>
      </c>
      <c r="I290" s="8" t="s">
        <v>320</v>
      </c>
      <c r="J290" s="4">
        <v>1</v>
      </c>
      <c r="K290" s="9">
        <v>21.63</v>
      </c>
      <c r="L290" s="9">
        <v>21.63</v>
      </c>
      <c r="M290" s="4" t="s">
        <v>321</v>
      </c>
      <c r="N290" s="4"/>
      <c r="O290" s="4">
        <v>8</v>
      </c>
      <c r="P290" s="4" t="s">
        <v>2657</v>
      </c>
      <c r="Q290" s="4" t="s">
        <v>2658</v>
      </c>
      <c r="R290" s="4"/>
      <c r="S290" s="4"/>
      <c r="T290" s="4" t="str">
        <f>HYPERLINK("http://slimages.macys.com/is/image/MCY/19911316 ")</f>
        <v xml:space="preserve">http://slimages.macys.com/is/image/MCY/19911316 </v>
      </c>
    </row>
    <row r="291" spans="1:20" ht="15" customHeight="1" x14ac:dyDescent="0.25">
      <c r="A291" s="4" t="s">
        <v>2489</v>
      </c>
      <c r="B291" s="2" t="s">
        <v>2487</v>
      </c>
      <c r="C291" s="2" t="s">
        <v>2488</v>
      </c>
      <c r="D291" s="5" t="s">
        <v>2490</v>
      </c>
      <c r="E291" s="4" t="s">
        <v>2491</v>
      </c>
      <c r="F291" s="6">
        <v>14210606</v>
      </c>
      <c r="G291" s="3">
        <v>14210606</v>
      </c>
      <c r="H291" s="7">
        <v>733004752933</v>
      </c>
      <c r="I291" s="8" t="s">
        <v>1593</v>
      </c>
      <c r="J291" s="4">
        <v>1</v>
      </c>
      <c r="K291" s="9">
        <v>14.99</v>
      </c>
      <c r="L291" s="9">
        <v>14.99</v>
      </c>
      <c r="M291" s="4" t="s">
        <v>2123</v>
      </c>
      <c r="N291" s="4" t="s">
        <v>2548</v>
      </c>
      <c r="O291" s="4" t="s">
        <v>2555</v>
      </c>
      <c r="P291" s="4" t="s">
        <v>2543</v>
      </c>
      <c r="Q291" s="4" t="s">
        <v>2528</v>
      </c>
      <c r="R291" s="4"/>
      <c r="S291" s="4"/>
      <c r="T291" s="4" t="str">
        <f>HYPERLINK("http://slimages.macys.com/is/image/MCY/20440836 ")</f>
        <v xml:space="preserve">http://slimages.macys.com/is/image/MCY/20440836 </v>
      </c>
    </row>
    <row r="292" spans="1:20" ht="15" customHeight="1" x14ac:dyDescent="0.25">
      <c r="A292" s="4" t="s">
        <v>2489</v>
      </c>
      <c r="B292" s="2" t="s">
        <v>2487</v>
      </c>
      <c r="C292" s="2" t="s">
        <v>2488</v>
      </c>
      <c r="D292" s="5" t="s">
        <v>2490</v>
      </c>
      <c r="E292" s="4" t="s">
        <v>2491</v>
      </c>
      <c r="F292" s="6">
        <v>14210606</v>
      </c>
      <c r="G292" s="3">
        <v>14210606</v>
      </c>
      <c r="H292" s="7">
        <v>195958405462</v>
      </c>
      <c r="I292" s="8" t="s">
        <v>322</v>
      </c>
      <c r="J292" s="4">
        <v>1</v>
      </c>
      <c r="K292" s="9">
        <v>34.5</v>
      </c>
      <c r="L292" s="9">
        <v>34.5</v>
      </c>
      <c r="M292" s="4" t="s">
        <v>323</v>
      </c>
      <c r="N292" s="4" t="s">
        <v>2497</v>
      </c>
      <c r="O292" s="4" t="s">
        <v>2688</v>
      </c>
      <c r="P292" s="4" t="s">
        <v>3283</v>
      </c>
      <c r="Q292" s="4" t="s">
        <v>2656</v>
      </c>
      <c r="R292" s="4"/>
      <c r="S292" s="4"/>
      <c r="T292" s="4" t="str">
        <f>HYPERLINK("http://slimages.macys.com/is/image/MCY/20670472 ")</f>
        <v xml:space="preserve">http://slimages.macys.com/is/image/MCY/20670472 </v>
      </c>
    </row>
    <row r="293" spans="1:20" ht="15" customHeight="1" x14ac:dyDescent="0.25">
      <c r="A293" s="4" t="s">
        <v>2489</v>
      </c>
      <c r="B293" s="2" t="s">
        <v>2487</v>
      </c>
      <c r="C293" s="2" t="s">
        <v>2488</v>
      </c>
      <c r="D293" s="5" t="s">
        <v>2490</v>
      </c>
      <c r="E293" s="4" t="s">
        <v>2491</v>
      </c>
      <c r="F293" s="6">
        <v>14210606</v>
      </c>
      <c r="G293" s="3">
        <v>14210606</v>
      </c>
      <c r="H293" s="7">
        <v>733004542459</v>
      </c>
      <c r="I293" s="8" t="s">
        <v>324</v>
      </c>
      <c r="J293" s="4">
        <v>1</v>
      </c>
      <c r="K293" s="9">
        <v>21.99</v>
      </c>
      <c r="L293" s="9">
        <v>21.99</v>
      </c>
      <c r="M293" s="4" t="s">
        <v>3099</v>
      </c>
      <c r="N293" s="4" t="s">
        <v>2514</v>
      </c>
      <c r="O293" s="4" t="s">
        <v>2671</v>
      </c>
      <c r="P293" s="4" t="s">
        <v>2543</v>
      </c>
      <c r="Q293" s="4" t="s">
        <v>2528</v>
      </c>
      <c r="R293" s="4"/>
      <c r="S293" s="4"/>
      <c r="T293" s="4" t="str">
        <f>HYPERLINK("http://slimages.macys.com/is/image/MCY/20158254 ")</f>
        <v xml:space="preserve">http://slimages.macys.com/is/image/MCY/20158254 </v>
      </c>
    </row>
    <row r="294" spans="1:20" ht="15" customHeight="1" x14ac:dyDescent="0.25">
      <c r="A294" s="4" t="s">
        <v>2489</v>
      </c>
      <c r="B294" s="2" t="s">
        <v>2487</v>
      </c>
      <c r="C294" s="2" t="s">
        <v>2488</v>
      </c>
      <c r="D294" s="5" t="s">
        <v>2490</v>
      </c>
      <c r="E294" s="4" t="s">
        <v>2491</v>
      </c>
      <c r="F294" s="6">
        <v>14210606</v>
      </c>
      <c r="G294" s="3">
        <v>14210606</v>
      </c>
      <c r="H294" s="7">
        <v>733001533863</v>
      </c>
      <c r="I294" s="8" t="s">
        <v>3282</v>
      </c>
      <c r="J294" s="4">
        <v>1</v>
      </c>
      <c r="K294" s="9">
        <v>6.99</v>
      </c>
      <c r="L294" s="9">
        <v>6.99</v>
      </c>
      <c r="M294" s="4" t="s">
        <v>2610</v>
      </c>
      <c r="N294" s="4" t="s">
        <v>2600</v>
      </c>
      <c r="O294" s="4" t="s">
        <v>2493</v>
      </c>
      <c r="P294" s="4" t="s">
        <v>2503</v>
      </c>
      <c r="Q294" s="4" t="s">
        <v>2504</v>
      </c>
      <c r="R294" s="4"/>
      <c r="S294" s="4"/>
      <c r="T294" s="4" t="str">
        <f>HYPERLINK("http://slimages.macys.com/is/image/MCY/17656375 ")</f>
        <v xml:space="preserve">http://slimages.macys.com/is/image/MCY/17656375 </v>
      </c>
    </row>
    <row r="295" spans="1:20" ht="15" customHeight="1" x14ac:dyDescent="0.25">
      <c r="A295" s="4" t="s">
        <v>2489</v>
      </c>
      <c r="B295" s="2" t="s">
        <v>2487</v>
      </c>
      <c r="C295" s="2" t="s">
        <v>2488</v>
      </c>
      <c r="D295" s="5" t="s">
        <v>2490</v>
      </c>
      <c r="E295" s="4" t="s">
        <v>2491</v>
      </c>
      <c r="F295" s="6">
        <v>14210606</v>
      </c>
      <c r="G295" s="3">
        <v>14210606</v>
      </c>
      <c r="H295" s="7">
        <v>194931227671</v>
      </c>
      <c r="I295" s="8" t="s">
        <v>325</v>
      </c>
      <c r="J295" s="4">
        <v>1</v>
      </c>
      <c r="K295" s="9">
        <v>48.28</v>
      </c>
      <c r="L295" s="9">
        <v>48.28</v>
      </c>
      <c r="M295" s="4" t="s">
        <v>326</v>
      </c>
      <c r="N295" s="4" t="s">
        <v>2526</v>
      </c>
      <c r="O295" s="4">
        <v>7</v>
      </c>
      <c r="P295" s="4" t="s">
        <v>2622</v>
      </c>
      <c r="Q295" s="4" t="s">
        <v>3089</v>
      </c>
      <c r="R295" s="4"/>
      <c r="S295" s="4"/>
      <c r="T295" s="4" t="str">
        <f>HYPERLINK("http://slimages.macys.com/is/image/MCY/19954463 ")</f>
        <v xml:space="preserve">http://slimages.macys.com/is/image/MCY/19954463 </v>
      </c>
    </row>
    <row r="296" spans="1:20" ht="15" customHeight="1" x14ac:dyDescent="0.25">
      <c r="A296" s="4" t="s">
        <v>2489</v>
      </c>
      <c r="B296" s="2" t="s">
        <v>2487</v>
      </c>
      <c r="C296" s="2" t="s">
        <v>2488</v>
      </c>
      <c r="D296" s="5" t="s">
        <v>2490</v>
      </c>
      <c r="E296" s="4" t="s">
        <v>2491</v>
      </c>
      <c r="F296" s="6">
        <v>14210606</v>
      </c>
      <c r="G296" s="3">
        <v>14210606</v>
      </c>
      <c r="H296" s="7">
        <v>733004112621</v>
      </c>
      <c r="I296" s="8" t="s">
        <v>327</v>
      </c>
      <c r="J296" s="4">
        <v>1</v>
      </c>
      <c r="K296" s="9">
        <v>7.99</v>
      </c>
      <c r="L296" s="9">
        <v>7.99</v>
      </c>
      <c r="M296" s="4" t="s">
        <v>1240</v>
      </c>
      <c r="N296" s="4" t="s">
        <v>2571</v>
      </c>
      <c r="O296" s="4" t="s">
        <v>2629</v>
      </c>
      <c r="P296" s="4" t="s">
        <v>2520</v>
      </c>
      <c r="Q296" s="4" t="s">
        <v>2528</v>
      </c>
      <c r="R296" s="4"/>
      <c r="S296" s="4"/>
      <c r="T296" s="4" t="str">
        <f>HYPERLINK("http://slimages.macys.com/is/image/MCY/19844158 ")</f>
        <v xml:space="preserve">http://slimages.macys.com/is/image/MCY/19844158 </v>
      </c>
    </row>
    <row r="297" spans="1:20" ht="15" customHeight="1" x14ac:dyDescent="0.25">
      <c r="A297" s="4" t="s">
        <v>2489</v>
      </c>
      <c r="B297" s="2" t="s">
        <v>2487</v>
      </c>
      <c r="C297" s="2" t="s">
        <v>2488</v>
      </c>
      <c r="D297" s="5" t="s">
        <v>2490</v>
      </c>
      <c r="E297" s="4" t="s">
        <v>2491</v>
      </c>
      <c r="F297" s="6">
        <v>14210606</v>
      </c>
      <c r="G297" s="3">
        <v>14210606</v>
      </c>
      <c r="H297" s="7">
        <v>733004287053</v>
      </c>
      <c r="I297" s="8" t="s">
        <v>328</v>
      </c>
      <c r="J297" s="4">
        <v>1</v>
      </c>
      <c r="K297" s="9">
        <v>6.99</v>
      </c>
      <c r="L297" s="9">
        <v>6.99</v>
      </c>
      <c r="M297" s="4" t="s">
        <v>109</v>
      </c>
      <c r="N297" s="4" t="s">
        <v>2600</v>
      </c>
      <c r="O297" s="4" t="s">
        <v>2601</v>
      </c>
      <c r="P297" s="4" t="s">
        <v>2503</v>
      </c>
      <c r="Q297" s="4" t="s">
        <v>2504</v>
      </c>
      <c r="R297" s="4"/>
      <c r="S297" s="4"/>
      <c r="T297" s="4" t="str">
        <f>HYPERLINK("http://slimages.macys.com/is/image/MCY/19746506 ")</f>
        <v xml:space="preserve">http://slimages.macys.com/is/image/MCY/19746506 </v>
      </c>
    </row>
    <row r="298" spans="1:20" ht="15" customHeight="1" x14ac:dyDescent="0.25">
      <c r="A298" s="4" t="s">
        <v>2489</v>
      </c>
      <c r="B298" s="2" t="s">
        <v>2487</v>
      </c>
      <c r="C298" s="2" t="s">
        <v>2488</v>
      </c>
      <c r="D298" s="5" t="s">
        <v>2490</v>
      </c>
      <c r="E298" s="4" t="s">
        <v>2491</v>
      </c>
      <c r="F298" s="6">
        <v>14210606</v>
      </c>
      <c r="G298" s="3">
        <v>14210606</v>
      </c>
      <c r="H298" s="7">
        <v>194257500113</v>
      </c>
      <c r="I298" s="8" t="s">
        <v>2376</v>
      </c>
      <c r="J298" s="4">
        <v>1</v>
      </c>
      <c r="K298" s="9">
        <v>15.99</v>
      </c>
      <c r="L298" s="9">
        <v>15.99</v>
      </c>
      <c r="M298" s="4" t="s">
        <v>2522</v>
      </c>
      <c r="N298" s="4" t="s">
        <v>2523</v>
      </c>
      <c r="O298" s="4">
        <v>7</v>
      </c>
      <c r="P298" s="4" t="s">
        <v>2499</v>
      </c>
      <c r="Q298" s="4" t="s">
        <v>2525</v>
      </c>
      <c r="R298" s="4"/>
      <c r="S298" s="4"/>
      <c r="T298" s="4" t="str">
        <f>HYPERLINK("http://slimages.macys.com/is/image/MCY/20012420 ")</f>
        <v xml:space="preserve">http://slimages.macys.com/is/image/MCY/20012420 </v>
      </c>
    </row>
    <row r="299" spans="1:20" ht="15" customHeight="1" x14ac:dyDescent="0.25">
      <c r="A299" s="4" t="s">
        <v>2489</v>
      </c>
      <c r="B299" s="2" t="s">
        <v>2487</v>
      </c>
      <c r="C299" s="2" t="s">
        <v>2488</v>
      </c>
      <c r="D299" s="5" t="s">
        <v>2490</v>
      </c>
      <c r="E299" s="4" t="s">
        <v>2491</v>
      </c>
      <c r="F299" s="6">
        <v>14210606</v>
      </c>
      <c r="G299" s="3">
        <v>14210606</v>
      </c>
      <c r="H299" s="7">
        <v>742728959016</v>
      </c>
      <c r="I299" s="8" t="s">
        <v>329</v>
      </c>
      <c r="J299" s="4">
        <v>1</v>
      </c>
      <c r="K299" s="9">
        <v>30.99</v>
      </c>
      <c r="L299" s="9">
        <v>30.99</v>
      </c>
      <c r="M299" s="4" t="s">
        <v>330</v>
      </c>
      <c r="N299" s="4" t="s">
        <v>2530</v>
      </c>
      <c r="O299" s="4">
        <v>4</v>
      </c>
      <c r="P299" s="4" t="s">
        <v>2619</v>
      </c>
      <c r="Q299" s="4" t="s">
        <v>2733</v>
      </c>
      <c r="R299" s="4"/>
      <c r="S299" s="4"/>
      <c r="T299" s="4" t="str">
        <f>HYPERLINK("http://slimages.macys.com/is/image/MCY/19474234 ")</f>
        <v xml:space="preserve">http://slimages.macys.com/is/image/MCY/19474234 </v>
      </c>
    </row>
    <row r="300" spans="1:20" ht="15" customHeight="1" x14ac:dyDescent="0.25">
      <c r="A300" s="4" t="s">
        <v>2489</v>
      </c>
      <c r="B300" s="2" t="s">
        <v>2487</v>
      </c>
      <c r="C300" s="2" t="s">
        <v>2488</v>
      </c>
      <c r="D300" s="5" t="s">
        <v>2490</v>
      </c>
      <c r="E300" s="4" t="s">
        <v>2491</v>
      </c>
      <c r="F300" s="6">
        <v>14210606</v>
      </c>
      <c r="G300" s="3">
        <v>14210606</v>
      </c>
      <c r="H300" s="7">
        <v>742728996653</v>
      </c>
      <c r="I300" s="8" t="s">
        <v>331</v>
      </c>
      <c r="J300" s="4">
        <v>1</v>
      </c>
      <c r="K300" s="9">
        <v>33.99</v>
      </c>
      <c r="L300" s="9">
        <v>33.99</v>
      </c>
      <c r="M300" s="4" t="s">
        <v>291</v>
      </c>
      <c r="N300" s="4" t="s">
        <v>2561</v>
      </c>
      <c r="O300" s="4" t="s">
        <v>2524</v>
      </c>
      <c r="P300" s="4" t="s">
        <v>2619</v>
      </c>
      <c r="Q300" s="4" t="s">
        <v>2733</v>
      </c>
      <c r="R300" s="4"/>
      <c r="S300" s="4"/>
      <c r="T300" s="4" t="str">
        <f>HYPERLINK("http://slimages.macys.com/is/image/MCY/20277702 ")</f>
        <v xml:space="preserve">http://slimages.macys.com/is/image/MCY/20277702 </v>
      </c>
    </row>
    <row r="301" spans="1:20" ht="15" customHeight="1" x14ac:dyDescent="0.25">
      <c r="A301" s="4" t="s">
        <v>2489</v>
      </c>
      <c r="B301" s="2" t="s">
        <v>2487</v>
      </c>
      <c r="C301" s="2" t="s">
        <v>2488</v>
      </c>
      <c r="D301" s="5" t="s">
        <v>2490</v>
      </c>
      <c r="E301" s="4" t="s">
        <v>2491</v>
      </c>
      <c r="F301" s="6">
        <v>14210606</v>
      </c>
      <c r="G301" s="3">
        <v>14210606</v>
      </c>
      <c r="H301" s="7">
        <v>889799926759</v>
      </c>
      <c r="I301" s="8" t="s">
        <v>332</v>
      </c>
      <c r="J301" s="4">
        <v>1</v>
      </c>
      <c r="K301" s="9">
        <v>19.989999999999998</v>
      </c>
      <c r="L301" s="9">
        <v>19.989999999999998</v>
      </c>
      <c r="M301" s="4" t="s">
        <v>333</v>
      </c>
      <c r="N301" s="4" t="s">
        <v>2544</v>
      </c>
      <c r="O301" s="4">
        <v>4</v>
      </c>
      <c r="P301" s="4" t="s">
        <v>2569</v>
      </c>
      <c r="Q301" s="4" t="s">
        <v>2570</v>
      </c>
      <c r="R301" s="4"/>
      <c r="S301" s="4"/>
      <c r="T301" s="4" t="str">
        <f>HYPERLINK("http://slimages.macys.com/is/image/MCY/18955805 ")</f>
        <v xml:space="preserve">http://slimages.macys.com/is/image/MCY/18955805 </v>
      </c>
    </row>
    <row r="302" spans="1:20" ht="15" customHeight="1" x14ac:dyDescent="0.25">
      <c r="A302" s="4" t="s">
        <v>2489</v>
      </c>
      <c r="B302" s="2" t="s">
        <v>2487</v>
      </c>
      <c r="C302" s="2" t="s">
        <v>2488</v>
      </c>
      <c r="D302" s="5" t="s">
        <v>2490</v>
      </c>
      <c r="E302" s="4" t="s">
        <v>2491</v>
      </c>
      <c r="F302" s="6">
        <v>14210606</v>
      </c>
      <c r="G302" s="3">
        <v>14210606</v>
      </c>
      <c r="H302" s="7">
        <v>733003621155</v>
      </c>
      <c r="I302" s="8" t="s">
        <v>2702</v>
      </c>
      <c r="J302" s="4">
        <v>1</v>
      </c>
      <c r="K302" s="9">
        <v>7.99</v>
      </c>
      <c r="L302" s="9">
        <v>7.99</v>
      </c>
      <c r="M302" s="4" t="s">
        <v>2703</v>
      </c>
      <c r="N302" s="4" t="s">
        <v>2571</v>
      </c>
      <c r="O302" s="4" t="s">
        <v>2629</v>
      </c>
      <c r="P302" s="4" t="s">
        <v>2503</v>
      </c>
      <c r="Q302" s="4" t="s">
        <v>2504</v>
      </c>
      <c r="R302" s="4"/>
      <c r="S302" s="4"/>
      <c r="T302" s="4" t="str">
        <f>HYPERLINK("http://slimages.macys.com/is/image/MCY/876675 ")</f>
        <v xml:space="preserve">http://slimages.macys.com/is/image/MCY/876675 </v>
      </c>
    </row>
    <row r="303" spans="1:20" ht="15" customHeight="1" x14ac:dyDescent="0.25">
      <c r="A303" s="4" t="s">
        <v>2489</v>
      </c>
      <c r="B303" s="2" t="s">
        <v>2487</v>
      </c>
      <c r="C303" s="2" t="s">
        <v>2488</v>
      </c>
      <c r="D303" s="5" t="s">
        <v>2490</v>
      </c>
      <c r="E303" s="4" t="s">
        <v>2491</v>
      </c>
      <c r="F303" s="6">
        <v>14210606</v>
      </c>
      <c r="G303" s="3">
        <v>14210606</v>
      </c>
      <c r="H303" s="7">
        <v>733003621162</v>
      </c>
      <c r="I303" s="8" t="s">
        <v>334</v>
      </c>
      <c r="J303" s="4">
        <v>1</v>
      </c>
      <c r="K303" s="9">
        <v>7.99</v>
      </c>
      <c r="L303" s="9">
        <v>7.99</v>
      </c>
      <c r="M303" s="4" t="s">
        <v>2703</v>
      </c>
      <c r="N303" s="4" t="s">
        <v>2571</v>
      </c>
      <c r="O303" s="4" t="s">
        <v>2628</v>
      </c>
      <c r="P303" s="4" t="s">
        <v>2503</v>
      </c>
      <c r="Q303" s="4" t="s">
        <v>2504</v>
      </c>
      <c r="R303" s="4"/>
      <c r="S303" s="4"/>
      <c r="T303" s="4" t="str">
        <f>HYPERLINK("http://slimages.macys.com/is/image/MCY/876675 ")</f>
        <v xml:space="preserve">http://slimages.macys.com/is/image/MCY/876675 </v>
      </c>
    </row>
    <row r="304" spans="1:20" ht="15" customHeight="1" x14ac:dyDescent="0.25">
      <c r="A304" s="4" t="s">
        <v>2489</v>
      </c>
      <c r="B304" s="2" t="s">
        <v>2487</v>
      </c>
      <c r="C304" s="2" t="s">
        <v>2488</v>
      </c>
      <c r="D304" s="5" t="s">
        <v>2490</v>
      </c>
      <c r="E304" s="4" t="s">
        <v>2491</v>
      </c>
      <c r="F304" s="6">
        <v>14210606</v>
      </c>
      <c r="G304" s="3">
        <v>14210606</v>
      </c>
      <c r="H304" s="7">
        <v>733003925543</v>
      </c>
      <c r="I304" s="8" t="s">
        <v>975</v>
      </c>
      <c r="J304" s="4">
        <v>1</v>
      </c>
      <c r="K304" s="9">
        <v>7.99</v>
      </c>
      <c r="L304" s="9">
        <v>7.99</v>
      </c>
      <c r="M304" s="4" t="s">
        <v>2757</v>
      </c>
      <c r="N304" s="4" t="s">
        <v>2638</v>
      </c>
      <c r="O304" s="4" t="s">
        <v>2628</v>
      </c>
      <c r="P304" s="4" t="s">
        <v>2503</v>
      </c>
      <c r="Q304" s="4" t="s">
        <v>2504</v>
      </c>
      <c r="R304" s="4"/>
      <c r="S304" s="4"/>
      <c r="T304" s="4" t="str">
        <f>HYPERLINK("http://slimages.macys.com/is/image/MCY/8695857 ")</f>
        <v xml:space="preserve">http://slimages.macys.com/is/image/MCY/8695857 </v>
      </c>
    </row>
    <row r="305" spans="1:20" ht="15" customHeight="1" x14ac:dyDescent="0.25">
      <c r="A305" s="4" t="s">
        <v>2489</v>
      </c>
      <c r="B305" s="2" t="s">
        <v>2487</v>
      </c>
      <c r="C305" s="2" t="s">
        <v>2488</v>
      </c>
      <c r="D305" s="5" t="s">
        <v>2490</v>
      </c>
      <c r="E305" s="4" t="s">
        <v>2491</v>
      </c>
      <c r="F305" s="6">
        <v>14210606</v>
      </c>
      <c r="G305" s="3">
        <v>14210606</v>
      </c>
      <c r="H305" s="7">
        <v>195883817750</v>
      </c>
      <c r="I305" s="8" t="s">
        <v>3258</v>
      </c>
      <c r="J305" s="4">
        <v>1</v>
      </c>
      <c r="K305" s="9">
        <v>18.989999999999998</v>
      </c>
      <c r="L305" s="9">
        <v>18.989999999999998</v>
      </c>
      <c r="M305" s="4" t="s">
        <v>3259</v>
      </c>
      <c r="N305" s="4" t="s">
        <v>2642</v>
      </c>
      <c r="O305" s="4" t="s">
        <v>2653</v>
      </c>
      <c r="P305" s="4" t="s">
        <v>2536</v>
      </c>
      <c r="Q305" s="4" t="s">
        <v>2944</v>
      </c>
      <c r="R305" s="4"/>
      <c r="S305" s="4"/>
      <c r="T305" s="4"/>
    </row>
    <row r="306" spans="1:20" ht="15" customHeight="1" x14ac:dyDescent="0.25">
      <c r="A306" s="4" t="s">
        <v>2489</v>
      </c>
      <c r="B306" s="2" t="s">
        <v>2487</v>
      </c>
      <c r="C306" s="2" t="s">
        <v>2488</v>
      </c>
      <c r="D306" s="5" t="s">
        <v>2490</v>
      </c>
      <c r="E306" s="4" t="s">
        <v>2491</v>
      </c>
      <c r="F306" s="6">
        <v>14210606</v>
      </c>
      <c r="G306" s="3">
        <v>14210606</v>
      </c>
      <c r="H306" s="7">
        <v>762120087247</v>
      </c>
      <c r="I306" s="8" t="s">
        <v>3044</v>
      </c>
      <c r="J306" s="4">
        <v>1</v>
      </c>
      <c r="K306" s="9">
        <v>11.99</v>
      </c>
      <c r="L306" s="9">
        <v>11.99</v>
      </c>
      <c r="M306" s="4" t="s">
        <v>3045</v>
      </c>
      <c r="N306" s="4" t="s">
        <v>2567</v>
      </c>
      <c r="O306" s="4">
        <v>5</v>
      </c>
      <c r="P306" s="4" t="s">
        <v>2602</v>
      </c>
      <c r="Q306" s="4" t="s">
        <v>2528</v>
      </c>
      <c r="R306" s="4"/>
      <c r="S306" s="4"/>
      <c r="T306" s="4" t="str">
        <f>HYPERLINK("http://slimages.macys.com/is/image/MCY/20691887 ")</f>
        <v xml:space="preserve">http://slimages.macys.com/is/image/MCY/20691887 </v>
      </c>
    </row>
    <row r="307" spans="1:20" ht="15" customHeight="1" x14ac:dyDescent="0.25">
      <c r="A307" s="4" t="s">
        <v>2489</v>
      </c>
      <c r="B307" s="2" t="s">
        <v>2487</v>
      </c>
      <c r="C307" s="2" t="s">
        <v>2488</v>
      </c>
      <c r="D307" s="5" t="s">
        <v>2490</v>
      </c>
      <c r="E307" s="4" t="s">
        <v>2491</v>
      </c>
      <c r="F307" s="6">
        <v>14210606</v>
      </c>
      <c r="G307" s="3">
        <v>14210606</v>
      </c>
      <c r="H307" s="7">
        <v>633731114977</v>
      </c>
      <c r="I307" s="8" t="s">
        <v>96</v>
      </c>
      <c r="J307" s="4">
        <v>2</v>
      </c>
      <c r="K307" s="9">
        <v>17.989999999999998</v>
      </c>
      <c r="L307" s="9">
        <v>35.979999999999997</v>
      </c>
      <c r="M307" s="4" t="s">
        <v>1843</v>
      </c>
      <c r="N307" s="4" t="s">
        <v>2664</v>
      </c>
      <c r="O307" s="4" t="s">
        <v>2532</v>
      </c>
      <c r="P307" s="4" t="s">
        <v>2499</v>
      </c>
      <c r="Q307" s="4" t="s">
        <v>2752</v>
      </c>
      <c r="R307" s="4" t="s">
        <v>2552</v>
      </c>
      <c r="S307" s="4" t="s">
        <v>2834</v>
      </c>
      <c r="T307" s="4" t="str">
        <f>HYPERLINK("http://slimages.macys.com/is/image/MCY/14565373 ")</f>
        <v xml:space="preserve">http://slimages.macys.com/is/image/MCY/14565373 </v>
      </c>
    </row>
    <row r="308" spans="1:20" ht="15" customHeight="1" x14ac:dyDescent="0.25">
      <c r="A308" s="4" t="s">
        <v>2489</v>
      </c>
      <c r="B308" s="2" t="s">
        <v>2487</v>
      </c>
      <c r="C308" s="2" t="s">
        <v>2488</v>
      </c>
      <c r="D308" s="5" t="s">
        <v>2490</v>
      </c>
      <c r="E308" s="4" t="s">
        <v>2491</v>
      </c>
      <c r="F308" s="6">
        <v>14210606</v>
      </c>
      <c r="G308" s="3">
        <v>14210606</v>
      </c>
      <c r="H308" s="7">
        <v>194133546297</v>
      </c>
      <c r="I308" s="8" t="s">
        <v>2329</v>
      </c>
      <c r="J308" s="4">
        <v>1</v>
      </c>
      <c r="K308" s="9">
        <v>11.11</v>
      </c>
      <c r="L308" s="9">
        <v>11.11</v>
      </c>
      <c r="M308" s="4" t="s">
        <v>2330</v>
      </c>
      <c r="N308" s="4"/>
      <c r="O308" s="4" t="s">
        <v>2587</v>
      </c>
      <c r="P308" s="4" t="s">
        <v>2657</v>
      </c>
      <c r="Q308" s="4" t="s">
        <v>2716</v>
      </c>
      <c r="R308" s="4"/>
      <c r="S308" s="4"/>
      <c r="T308" s="4" t="str">
        <f>HYPERLINK("http://slimages.macys.com/is/image/MCY/20243211 ")</f>
        <v xml:space="preserve">http://slimages.macys.com/is/image/MCY/20243211 </v>
      </c>
    </row>
    <row r="309" spans="1:20" ht="15" customHeight="1" x14ac:dyDescent="0.25">
      <c r="A309" s="4" t="s">
        <v>2489</v>
      </c>
      <c r="B309" s="2" t="s">
        <v>2487</v>
      </c>
      <c r="C309" s="2" t="s">
        <v>2488</v>
      </c>
      <c r="D309" s="5" t="s">
        <v>2490</v>
      </c>
      <c r="E309" s="4" t="s">
        <v>2491</v>
      </c>
      <c r="F309" s="6">
        <v>14210606</v>
      </c>
      <c r="G309" s="3">
        <v>14210606</v>
      </c>
      <c r="H309" s="7">
        <v>762120162371</v>
      </c>
      <c r="I309" s="8" t="s">
        <v>2630</v>
      </c>
      <c r="J309" s="4">
        <v>1</v>
      </c>
      <c r="K309" s="9">
        <v>11.99</v>
      </c>
      <c r="L309" s="9">
        <v>11.99</v>
      </c>
      <c r="M309" s="4" t="s">
        <v>2631</v>
      </c>
      <c r="N309" s="4" t="s">
        <v>2632</v>
      </c>
      <c r="O309" s="4" t="s">
        <v>2628</v>
      </c>
      <c r="P309" s="4" t="s">
        <v>2602</v>
      </c>
      <c r="Q309" s="4" t="s">
        <v>2528</v>
      </c>
      <c r="R309" s="4"/>
      <c r="S309" s="4"/>
      <c r="T309" s="4" t="str">
        <f>HYPERLINK("http://slimages.macys.com/is/image/MCY/20819683 ")</f>
        <v xml:space="preserve">http://slimages.macys.com/is/image/MCY/20819683 </v>
      </c>
    </row>
    <row r="310" spans="1:20" ht="15" customHeight="1" x14ac:dyDescent="0.25">
      <c r="A310" s="4" t="s">
        <v>2489</v>
      </c>
      <c r="B310" s="2" t="s">
        <v>2487</v>
      </c>
      <c r="C310" s="2" t="s">
        <v>2488</v>
      </c>
      <c r="D310" s="5" t="s">
        <v>2490</v>
      </c>
      <c r="E310" s="4" t="s">
        <v>2491</v>
      </c>
      <c r="F310" s="6">
        <v>14210606</v>
      </c>
      <c r="G310" s="3">
        <v>14210606</v>
      </c>
      <c r="H310" s="7">
        <v>633731114960</v>
      </c>
      <c r="I310" s="8" t="s">
        <v>1842</v>
      </c>
      <c r="J310" s="4">
        <v>2</v>
      </c>
      <c r="K310" s="9">
        <v>17.989999999999998</v>
      </c>
      <c r="L310" s="9">
        <v>35.979999999999997</v>
      </c>
      <c r="M310" s="4" t="s">
        <v>1843</v>
      </c>
      <c r="N310" s="4" t="s">
        <v>2664</v>
      </c>
      <c r="O310" s="4" t="s">
        <v>2498</v>
      </c>
      <c r="P310" s="4" t="s">
        <v>2499</v>
      </c>
      <c r="Q310" s="4" t="s">
        <v>2752</v>
      </c>
      <c r="R310" s="4" t="s">
        <v>2552</v>
      </c>
      <c r="S310" s="4" t="s">
        <v>2834</v>
      </c>
      <c r="T310" s="4" t="str">
        <f>HYPERLINK("http://slimages.macys.com/is/image/MCY/14565373 ")</f>
        <v xml:space="preserve">http://slimages.macys.com/is/image/MCY/14565373 </v>
      </c>
    </row>
    <row r="311" spans="1:20" ht="15" customHeight="1" x14ac:dyDescent="0.25">
      <c r="A311" s="4" t="s">
        <v>2489</v>
      </c>
      <c r="B311" s="2" t="s">
        <v>2487</v>
      </c>
      <c r="C311" s="2" t="s">
        <v>2488</v>
      </c>
      <c r="D311" s="5" t="s">
        <v>2490</v>
      </c>
      <c r="E311" s="4" t="s">
        <v>2491</v>
      </c>
      <c r="F311" s="6">
        <v>14210606</v>
      </c>
      <c r="G311" s="3">
        <v>14210606</v>
      </c>
      <c r="H311" s="7">
        <v>196027095331</v>
      </c>
      <c r="I311" s="8" t="s">
        <v>2896</v>
      </c>
      <c r="J311" s="4">
        <v>1</v>
      </c>
      <c r="K311" s="9">
        <v>27.99</v>
      </c>
      <c r="L311" s="9">
        <v>27.99</v>
      </c>
      <c r="M311" s="4" t="s">
        <v>2897</v>
      </c>
      <c r="N311" s="4" t="s">
        <v>2544</v>
      </c>
      <c r="O311" s="10">
        <v>45084</v>
      </c>
      <c r="P311" s="4" t="s">
        <v>2569</v>
      </c>
      <c r="Q311" s="4" t="s">
        <v>2898</v>
      </c>
      <c r="R311" s="4"/>
      <c r="S311" s="4"/>
      <c r="T311" s="4" t="str">
        <f>HYPERLINK("http://slimages.macys.com/is/image/MCY/20750317 ")</f>
        <v xml:space="preserve">http://slimages.macys.com/is/image/MCY/20750317 </v>
      </c>
    </row>
    <row r="312" spans="1:20" ht="15" customHeight="1" x14ac:dyDescent="0.25">
      <c r="A312" s="4" t="s">
        <v>2489</v>
      </c>
      <c r="B312" s="2" t="s">
        <v>2487</v>
      </c>
      <c r="C312" s="2" t="s">
        <v>2488</v>
      </c>
      <c r="D312" s="5" t="s">
        <v>2490</v>
      </c>
      <c r="E312" s="4" t="s">
        <v>2491</v>
      </c>
      <c r="F312" s="6">
        <v>14210606</v>
      </c>
      <c r="G312" s="3">
        <v>14210606</v>
      </c>
      <c r="H312" s="7">
        <v>882506713017</v>
      </c>
      <c r="I312" s="8" t="s">
        <v>88</v>
      </c>
      <c r="J312" s="4">
        <v>1</v>
      </c>
      <c r="K312" s="9">
        <v>79.989999999999995</v>
      </c>
      <c r="L312" s="9">
        <v>79.989999999999995</v>
      </c>
      <c r="M312" s="4" t="s">
        <v>89</v>
      </c>
      <c r="N312" s="4" t="s">
        <v>2497</v>
      </c>
      <c r="O312" s="4" t="s">
        <v>3180</v>
      </c>
      <c r="P312" s="4" t="s">
        <v>2622</v>
      </c>
      <c r="Q312" s="4" t="s">
        <v>3055</v>
      </c>
      <c r="R312" s="4" t="s">
        <v>2552</v>
      </c>
      <c r="S312" s="4" t="s">
        <v>3056</v>
      </c>
      <c r="T312" s="4" t="str">
        <f>HYPERLINK("http://slimages.macys.com/is/image/MCY/2630573 ")</f>
        <v xml:space="preserve">http://slimages.macys.com/is/image/MCY/2630573 </v>
      </c>
    </row>
    <row r="313" spans="1:20" ht="15" customHeight="1" x14ac:dyDescent="0.25">
      <c r="A313" s="4" t="s">
        <v>2489</v>
      </c>
      <c r="B313" s="2" t="s">
        <v>2487</v>
      </c>
      <c r="C313" s="2" t="s">
        <v>2488</v>
      </c>
      <c r="D313" s="5" t="s">
        <v>2490</v>
      </c>
      <c r="E313" s="4" t="s">
        <v>2491</v>
      </c>
      <c r="F313" s="6">
        <v>14210606</v>
      </c>
      <c r="G313" s="3">
        <v>14210606</v>
      </c>
      <c r="H313" s="7">
        <v>81715950903</v>
      </c>
      <c r="I313" s="8" t="s">
        <v>335</v>
      </c>
      <c r="J313" s="4">
        <v>1</v>
      </c>
      <c r="K313" s="9">
        <v>12.99</v>
      </c>
      <c r="L313" s="9">
        <v>12.99</v>
      </c>
      <c r="M313" s="4" t="s">
        <v>336</v>
      </c>
      <c r="N313" s="4" t="s">
        <v>3252</v>
      </c>
      <c r="O313" s="4" t="s">
        <v>2538</v>
      </c>
      <c r="P313" s="4" t="s">
        <v>2539</v>
      </c>
      <c r="Q313" s="4" t="s">
        <v>2540</v>
      </c>
      <c r="R313" s="4"/>
      <c r="S313" s="4"/>
      <c r="T313" s="4" t="str">
        <f>HYPERLINK("http://slimages.macys.com/is/image/MCY/20478175 ")</f>
        <v xml:space="preserve">http://slimages.macys.com/is/image/MCY/20478175 </v>
      </c>
    </row>
    <row r="314" spans="1:20" ht="15" customHeight="1" x14ac:dyDescent="0.25">
      <c r="A314" s="4" t="s">
        <v>2489</v>
      </c>
      <c r="B314" s="2" t="s">
        <v>2487</v>
      </c>
      <c r="C314" s="2" t="s">
        <v>2488</v>
      </c>
      <c r="D314" s="5" t="s">
        <v>2490</v>
      </c>
      <c r="E314" s="4" t="s">
        <v>2491</v>
      </c>
      <c r="F314" s="6">
        <v>14210606</v>
      </c>
      <c r="G314" s="3">
        <v>14210606</v>
      </c>
      <c r="H314" s="7">
        <v>81715951085</v>
      </c>
      <c r="I314" s="8" t="s">
        <v>2737</v>
      </c>
      <c r="J314" s="4">
        <v>1</v>
      </c>
      <c r="K314" s="9">
        <v>12.99</v>
      </c>
      <c r="L314" s="9">
        <v>12.99</v>
      </c>
      <c r="M314" s="4" t="s">
        <v>2738</v>
      </c>
      <c r="N314" s="4" t="s">
        <v>2548</v>
      </c>
      <c r="O314" s="4" t="s">
        <v>2538</v>
      </c>
      <c r="P314" s="4" t="s">
        <v>2539</v>
      </c>
      <c r="Q314" s="4" t="s">
        <v>2540</v>
      </c>
      <c r="R314" s="4"/>
      <c r="S314" s="4"/>
      <c r="T314" s="4" t="str">
        <f>HYPERLINK("http://slimages.macys.com/is/image/MCY/20478238 ")</f>
        <v xml:space="preserve">http://slimages.macys.com/is/image/MCY/20478238 </v>
      </c>
    </row>
    <row r="315" spans="1:20" ht="15" customHeight="1" x14ac:dyDescent="0.25">
      <c r="A315" s="4" t="s">
        <v>2489</v>
      </c>
      <c r="B315" s="2" t="s">
        <v>2487</v>
      </c>
      <c r="C315" s="2" t="s">
        <v>2488</v>
      </c>
      <c r="D315" s="5" t="s">
        <v>2490</v>
      </c>
      <c r="E315" s="4" t="s">
        <v>2491</v>
      </c>
      <c r="F315" s="6">
        <v>14210606</v>
      </c>
      <c r="G315" s="3">
        <v>14210606</v>
      </c>
      <c r="H315" s="7">
        <v>742728933610</v>
      </c>
      <c r="I315" s="8" t="s">
        <v>3088</v>
      </c>
      <c r="J315" s="4">
        <v>1</v>
      </c>
      <c r="K315" s="9">
        <v>33.99</v>
      </c>
      <c r="L315" s="9">
        <v>33.99</v>
      </c>
      <c r="M315" s="4" t="s">
        <v>3077</v>
      </c>
      <c r="N315" s="4" t="s">
        <v>2497</v>
      </c>
      <c r="O315" s="4" t="s">
        <v>2555</v>
      </c>
      <c r="P315" s="4" t="s">
        <v>2722</v>
      </c>
      <c r="Q315" s="4" t="s">
        <v>2723</v>
      </c>
      <c r="R315" s="4"/>
      <c r="S315" s="4"/>
      <c r="T315" s="4" t="str">
        <f>HYPERLINK("http://slimages.macys.com/is/image/MCY/19747669 ")</f>
        <v xml:space="preserve">http://slimages.macys.com/is/image/MCY/19747669 </v>
      </c>
    </row>
    <row r="316" spans="1:20" ht="15" customHeight="1" x14ac:dyDescent="0.25">
      <c r="A316" s="4" t="s">
        <v>2489</v>
      </c>
      <c r="B316" s="2" t="s">
        <v>2487</v>
      </c>
      <c r="C316" s="2" t="s">
        <v>2488</v>
      </c>
      <c r="D316" s="5" t="s">
        <v>2490</v>
      </c>
      <c r="E316" s="4" t="s">
        <v>2491</v>
      </c>
      <c r="F316" s="6">
        <v>14210606</v>
      </c>
      <c r="G316" s="3">
        <v>14210606</v>
      </c>
      <c r="H316" s="7">
        <v>195883345697</v>
      </c>
      <c r="I316" s="8" t="s">
        <v>337</v>
      </c>
      <c r="J316" s="4">
        <v>1</v>
      </c>
      <c r="K316" s="9">
        <v>9.99</v>
      </c>
      <c r="L316" s="9">
        <v>9.99</v>
      </c>
      <c r="M316" s="4" t="s">
        <v>3294</v>
      </c>
      <c r="N316" s="4" t="s">
        <v>2526</v>
      </c>
      <c r="O316" s="4" t="s">
        <v>2519</v>
      </c>
      <c r="P316" s="4" t="s">
        <v>2556</v>
      </c>
      <c r="Q316" s="4" t="s">
        <v>2527</v>
      </c>
      <c r="R316" s="4"/>
      <c r="S316" s="4"/>
      <c r="T316" s="4" t="str">
        <f>HYPERLINK("http://slimages.macys.com/is/image/MCY/20200693 ")</f>
        <v xml:space="preserve">http://slimages.macys.com/is/image/MCY/20200693 </v>
      </c>
    </row>
    <row r="317" spans="1:20" ht="15" customHeight="1" x14ac:dyDescent="0.25">
      <c r="A317" s="4" t="s">
        <v>2489</v>
      </c>
      <c r="B317" s="2" t="s">
        <v>2487</v>
      </c>
      <c r="C317" s="2" t="s">
        <v>2488</v>
      </c>
      <c r="D317" s="5" t="s">
        <v>2490</v>
      </c>
      <c r="E317" s="4" t="s">
        <v>2491</v>
      </c>
      <c r="F317" s="6">
        <v>14210606</v>
      </c>
      <c r="G317" s="3">
        <v>14210606</v>
      </c>
      <c r="H317" s="7">
        <v>840144218660</v>
      </c>
      <c r="I317" s="8" t="s">
        <v>3035</v>
      </c>
      <c r="J317" s="4">
        <v>1</v>
      </c>
      <c r="K317" s="9">
        <v>15.99</v>
      </c>
      <c r="L317" s="9">
        <v>15.99</v>
      </c>
      <c r="M317" s="4" t="s">
        <v>3036</v>
      </c>
      <c r="N317" s="4"/>
      <c r="O317" s="4" t="s">
        <v>2669</v>
      </c>
      <c r="P317" s="4" t="s">
        <v>2539</v>
      </c>
      <c r="Q317" s="4" t="s">
        <v>2670</v>
      </c>
      <c r="R317" s="4"/>
      <c r="S317" s="4"/>
      <c r="T317" s="4" t="str">
        <f>HYPERLINK("http://slimages.macys.com/is/image/MCY/20138243 ")</f>
        <v xml:space="preserve">http://slimages.macys.com/is/image/MCY/20138243 </v>
      </c>
    </row>
    <row r="318" spans="1:20" ht="15" customHeight="1" x14ac:dyDescent="0.25">
      <c r="A318" s="4" t="s">
        <v>2489</v>
      </c>
      <c r="B318" s="2" t="s">
        <v>2487</v>
      </c>
      <c r="C318" s="2" t="s">
        <v>2488</v>
      </c>
      <c r="D318" s="5" t="s">
        <v>2490</v>
      </c>
      <c r="E318" s="4" t="s">
        <v>2491</v>
      </c>
      <c r="F318" s="6">
        <v>14210606</v>
      </c>
      <c r="G318" s="3">
        <v>14210606</v>
      </c>
      <c r="H318" s="7">
        <v>194715400924</v>
      </c>
      <c r="I318" s="8" t="s">
        <v>338</v>
      </c>
      <c r="J318" s="4">
        <v>1</v>
      </c>
      <c r="K318" s="9">
        <v>45</v>
      </c>
      <c r="L318" s="9">
        <v>45</v>
      </c>
      <c r="M318" s="4" t="s">
        <v>3287</v>
      </c>
      <c r="N318" s="4" t="s">
        <v>2523</v>
      </c>
      <c r="O318" s="4">
        <v>1</v>
      </c>
      <c r="P318" s="4" t="s">
        <v>2510</v>
      </c>
      <c r="Q318" s="4" t="s">
        <v>3288</v>
      </c>
      <c r="R318" s="4"/>
      <c r="S318" s="4"/>
      <c r="T318" s="4" t="str">
        <f>HYPERLINK("http://slimages.macys.com/is/image/MCY/18650331 ")</f>
        <v xml:space="preserve">http://slimages.macys.com/is/image/MCY/18650331 </v>
      </c>
    </row>
    <row r="319" spans="1:20" ht="15" customHeight="1" x14ac:dyDescent="0.25">
      <c r="A319" s="4" t="s">
        <v>2489</v>
      </c>
      <c r="B319" s="2" t="s">
        <v>2487</v>
      </c>
      <c r="C319" s="2" t="s">
        <v>2488</v>
      </c>
      <c r="D319" s="5" t="s">
        <v>2490</v>
      </c>
      <c r="E319" s="4" t="s">
        <v>2491</v>
      </c>
      <c r="F319" s="6">
        <v>14210606</v>
      </c>
      <c r="G319" s="3">
        <v>14210606</v>
      </c>
      <c r="H319" s="7">
        <v>194654115507</v>
      </c>
      <c r="I319" s="8" t="s">
        <v>339</v>
      </c>
      <c r="J319" s="4">
        <v>1</v>
      </c>
      <c r="K319" s="9">
        <v>50</v>
      </c>
      <c r="L319" s="9">
        <v>50</v>
      </c>
      <c r="M319" s="4" t="s">
        <v>340</v>
      </c>
      <c r="N319" s="4" t="s">
        <v>2596</v>
      </c>
      <c r="O319" s="4">
        <v>7</v>
      </c>
      <c r="P319" s="4" t="s">
        <v>2510</v>
      </c>
      <c r="Q319" s="4" t="s">
        <v>2549</v>
      </c>
      <c r="R319" s="4"/>
      <c r="S319" s="4"/>
      <c r="T319" s="4"/>
    </row>
    <row r="320" spans="1:20" ht="15" customHeight="1" x14ac:dyDescent="0.25">
      <c r="A320" s="4" t="s">
        <v>2489</v>
      </c>
      <c r="B320" s="2" t="s">
        <v>2487</v>
      </c>
      <c r="C320" s="2" t="s">
        <v>2488</v>
      </c>
      <c r="D320" s="5" t="s">
        <v>2490</v>
      </c>
      <c r="E320" s="4" t="s">
        <v>2491</v>
      </c>
      <c r="F320" s="6">
        <v>14210606</v>
      </c>
      <c r="G320" s="3">
        <v>14210606</v>
      </c>
      <c r="H320" s="7">
        <v>733004765018</v>
      </c>
      <c r="I320" s="8" t="s">
        <v>1815</v>
      </c>
      <c r="J320" s="4">
        <v>1</v>
      </c>
      <c r="K320" s="9">
        <v>21.99</v>
      </c>
      <c r="L320" s="9">
        <v>21.99</v>
      </c>
      <c r="M320" s="4" t="s">
        <v>3428</v>
      </c>
      <c r="N320" s="4" t="s">
        <v>2598</v>
      </c>
      <c r="O320" s="4" t="s">
        <v>2555</v>
      </c>
      <c r="P320" s="4" t="s">
        <v>2515</v>
      </c>
      <c r="Q320" s="4" t="s">
        <v>2672</v>
      </c>
      <c r="R320" s="4"/>
      <c r="S320" s="4"/>
      <c r="T320" s="4" t="str">
        <f>HYPERLINK("http://slimages.macys.com/is/image/MCY/20530565 ")</f>
        <v xml:space="preserve">http://slimages.macys.com/is/image/MCY/20530565 </v>
      </c>
    </row>
    <row r="321" spans="1:20" ht="15" customHeight="1" x14ac:dyDescent="0.25">
      <c r="A321" s="4" t="s">
        <v>2489</v>
      </c>
      <c r="B321" s="2" t="s">
        <v>2487</v>
      </c>
      <c r="C321" s="2" t="s">
        <v>2488</v>
      </c>
      <c r="D321" s="5" t="s">
        <v>2490</v>
      </c>
      <c r="E321" s="4" t="s">
        <v>2491</v>
      </c>
      <c r="F321" s="6">
        <v>14210606</v>
      </c>
      <c r="G321" s="3">
        <v>14210606</v>
      </c>
      <c r="H321" s="7">
        <v>733004780158</v>
      </c>
      <c r="I321" s="8" t="s">
        <v>1401</v>
      </c>
      <c r="J321" s="4">
        <v>1</v>
      </c>
      <c r="K321" s="9">
        <v>7.99</v>
      </c>
      <c r="L321" s="9">
        <v>7.99</v>
      </c>
      <c r="M321" s="4" t="s">
        <v>3126</v>
      </c>
      <c r="N321" s="4" t="s">
        <v>2567</v>
      </c>
      <c r="O321" s="4" t="s">
        <v>2628</v>
      </c>
      <c r="P321" s="4" t="s">
        <v>2602</v>
      </c>
      <c r="Q321" s="4" t="s">
        <v>2528</v>
      </c>
      <c r="R321" s="4"/>
      <c r="S321" s="4"/>
      <c r="T321" s="4" t="str">
        <f>HYPERLINK("http://slimages.macys.com/is/image/MCY/20450165 ")</f>
        <v xml:space="preserve">http://slimages.macys.com/is/image/MCY/20450165 </v>
      </c>
    </row>
    <row r="322" spans="1:20" ht="15" customHeight="1" x14ac:dyDescent="0.25">
      <c r="A322" s="4" t="s">
        <v>2489</v>
      </c>
      <c r="B322" s="2" t="s">
        <v>2487</v>
      </c>
      <c r="C322" s="2" t="s">
        <v>2488</v>
      </c>
      <c r="D322" s="5" t="s">
        <v>2490</v>
      </c>
      <c r="E322" s="4" t="s">
        <v>2491</v>
      </c>
      <c r="F322" s="6">
        <v>14210606</v>
      </c>
      <c r="G322" s="3">
        <v>14210606</v>
      </c>
      <c r="H322" s="7">
        <v>733004780226</v>
      </c>
      <c r="I322" s="8" t="s">
        <v>3203</v>
      </c>
      <c r="J322" s="4">
        <v>1</v>
      </c>
      <c r="K322" s="9">
        <v>7.99</v>
      </c>
      <c r="L322" s="9">
        <v>7.99</v>
      </c>
      <c r="M322" s="4" t="s">
        <v>3149</v>
      </c>
      <c r="N322" s="4" t="s">
        <v>2638</v>
      </c>
      <c r="O322" s="4" t="s">
        <v>2653</v>
      </c>
      <c r="P322" s="4" t="s">
        <v>2602</v>
      </c>
      <c r="Q322" s="4" t="s">
        <v>2528</v>
      </c>
      <c r="R322" s="4"/>
      <c r="S322" s="4"/>
      <c r="T322" s="4" t="str">
        <f>HYPERLINK("http://slimages.macys.com/is/image/MCY/20450168 ")</f>
        <v xml:space="preserve">http://slimages.macys.com/is/image/MCY/20450168 </v>
      </c>
    </row>
    <row r="323" spans="1:20" ht="15" customHeight="1" x14ac:dyDescent="0.25">
      <c r="A323" s="4" t="s">
        <v>2489</v>
      </c>
      <c r="B323" s="2" t="s">
        <v>2487</v>
      </c>
      <c r="C323" s="2" t="s">
        <v>2488</v>
      </c>
      <c r="D323" s="5" t="s">
        <v>2490</v>
      </c>
      <c r="E323" s="4" t="s">
        <v>2491</v>
      </c>
      <c r="F323" s="6">
        <v>14210606</v>
      </c>
      <c r="G323" s="3">
        <v>14210606</v>
      </c>
      <c r="H323" s="7">
        <v>733004780929</v>
      </c>
      <c r="I323" s="8" t="s">
        <v>1541</v>
      </c>
      <c r="J323" s="4">
        <v>1</v>
      </c>
      <c r="K323" s="9">
        <v>11.99</v>
      </c>
      <c r="L323" s="9">
        <v>11.99</v>
      </c>
      <c r="M323" s="4" t="s">
        <v>3083</v>
      </c>
      <c r="N323" s="4" t="s">
        <v>2530</v>
      </c>
      <c r="O323" s="4" t="s">
        <v>2629</v>
      </c>
      <c r="P323" s="4" t="s">
        <v>2602</v>
      </c>
      <c r="Q323" s="4" t="s">
        <v>2528</v>
      </c>
      <c r="R323" s="4"/>
      <c r="S323" s="4"/>
      <c r="T323" s="4" t="str">
        <f>HYPERLINK("http://slimages.macys.com/is/image/MCY/20450174 ")</f>
        <v xml:space="preserve">http://slimages.macys.com/is/image/MCY/20450174 </v>
      </c>
    </row>
    <row r="324" spans="1:20" ht="15" customHeight="1" x14ac:dyDescent="0.25">
      <c r="A324" s="4" t="s">
        <v>2489</v>
      </c>
      <c r="B324" s="2" t="s">
        <v>2487</v>
      </c>
      <c r="C324" s="2" t="s">
        <v>2488</v>
      </c>
      <c r="D324" s="5" t="s">
        <v>2490</v>
      </c>
      <c r="E324" s="4" t="s">
        <v>2491</v>
      </c>
      <c r="F324" s="6">
        <v>14210606</v>
      </c>
      <c r="G324" s="3">
        <v>14210606</v>
      </c>
      <c r="H324" s="7">
        <v>733004722707</v>
      </c>
      <c r="I324" s="8" t="s">
        <v>3192</v>
      </c>
      <c r="J324" s="4">
        <v>2</v>
      </c>
      <c r="K324" s="9">
        <v>25.99</v>
      </c>
      <c r="L324" s="9">
        <v>51.98</v>
      </c>
      <c r="M324" s="4" t="s">
        <v>3193</v>
      </c>
      <c r="N324" s="4" t="s">
        <v>2530</v>
      </c>
      <c r="O324" s="4" t="s">
        <v>2601</v>
      </c>
      <c r="P324" s="4" t="s">
        <v>2503</v>
      </c>
      <c r="Q324" s="4" t="s">
        <v>2504</v>
      </c>
      <c r="R324" s="4"/>
      <c r="S324" s="4"/>
      <c r="T324" s="4" t="str">
        <f>HYPERLINK("http://slimages.macys.com/is/image/MCY/19977902 ")</f>
        <v xml:space="preserve">http://slimages.macys.com/is/image/MCY/19977902 </v>
      </c>
    </row>
    <row r="325" spans="1:20" ht="15" customHeight="1" x14ac:dyDescent="0.25">
      <c r="A325" s="4" t="s">
        <v>2489</v>
      </c>
      <c r="B325" s="2" t="s">
        <v>2487</v>
      </c>
      <c r="C325" s="2" t="s">
        <v>2488</v>
      </c>
      <c r="D325" s="5" t="s">
        <v>2490</v>
      </c>
      <c r="E325" s="4" t="s">
        <v>2491</v>
      </c>
      <c r="F325" s="6">
        <v>14210606</v>
      </c>
      <c r="G325" s="3">
        <v>14210606</v>
      </c>
      <c r="H325" s="7">
        <v>733004722714</v>
      </c>
      <c r="I325" s="8" t="s">
        <v>2044</v>
      </c>
      <c r="J325" s="4">
        <v>1</v>
      </c>
      <c r="K325" s="9">
        <v>25.99</v>
      </c>
      <c r="L325" s="9">
        <v>25.99</v>
      </c>
      <c r="M325" s="4" t="s">
        <v>3193</v>
      </c>
      <c r="N325" s="4" t="s">
        <v>2530</v>
      </c>
      <c r="O325" s="4" t="s">
        <v>2566</v>
      </c>
      <c r="P325" s="4" t="s">
        <v>2503</v>
      </c>
      <c r="Q325" s="4" t="s">
        <v>2504</v>
      </c>
      <c r="R325" s="4"/>
      <c r="S325" s="4"/>
      <c r="T325" s="4" t="str">
        <f>HYPERLINK("http://slimages.macys.com/is/image/MCY/19977902 ")</f>
        <v xml:space="preserve">http://slimages.macys.com/is/image/MCY/19977902 </v>
      </c>
    </row>
    <row r="326" spans="1:20" ht="15" customHeight="1" x14ac:dyDescent="0.25">
      <c r="A326" s="4" t="s">
        <v>2489</v>
      </c>
      <c r="B326" s="2" t="s">
        <v>2487</v>
      </c>
      <c r="C326" s="2" t="s">
        <v>2488</v>
      </c>
      <c r="D326" s="5" t="s">
        <v>2490</v>
      </c>
      <c r="E326" s="4" t="s">
        <v>2491</v>
      </c>
      <c r="F326" s="6">
        <v>14210606</v>
      </c>
      <c r="G326" s="3">
        <v>14210606</v>
      </c>
      <c r="H326" s="7">
        <v>762120077101</v>
      </c>
      <c r="I326" s="8" t="s">
        <v>3129</v>
      </c>
      <c r="J326" s="4">
        <v>2</v>
      </c>
      <c r="K326" s="9">
        <v>7.99</v>
      </c>
      <c r="L326" s="9">
        <v>15.98</v>
      </c>
      <c r="M326" s="4" t="s">
        <v>3130</v>
      </c>
      <c r="N326" s="4" t="s">
        <v>2567</v>
      </c>
      <c r="O326" s="4">
        <v>7</v>
      </c>
      <c r="P326" s="4" t="s">
        <v>2520</v>
      </c>
      <c r="Q326" s="4" t="s">
        <v>2528</v>
      </c>
      <c r="R326" s="4"/>
      <c r="S326" s="4"/>
      <c r="T326" s="4" t="str">
        <f>HYPERLINK("http://slimages.macys.com/is/image/MCY/20669887 ")</f>
        <v xml:space="preserve">http://slimages.macys.com/is/image/MCY/20669887 </v>
      </c>
    </row>
    <row r="327" spans="1:20" ht="15" customHeight="1" x14ac:dyDescent="0.25">
      <c r="A327" s="4" t="s">
        <v>2489</v>
      </c>
      <c r="B327" s="2" t="s">
        <v>2487</v>
      </c>
      <c r="C327" s="2" t="s">
        <v>2488</v>
      </c>
      <c r="D327" s="5" t="s">
        <v>2490</v>
      </c>
      <c r="E327" s="4" t="s">
        <v>2491</v>
      </c>
      <c r="F327" s="6">
        <v>14210606</v>
      </c>
      <c r="G327" s="3">
        <v>14210606</v>
      </c>
      <c r="H327" s="7">
        <v>733004780073</v>
      </c>
      <c r="I327" s="8" t="s">
        <v>1364</v>
      </c>
      <c r="J327" s="4">
        <v>1</v>
      </c>
      <c r="K327" s="9">
        <v>7.99</v>
      </c>
      <c r="L327" s="9">
        <v>7.99</v>
      </c>
      <c r="M327" s="4" t="s">
        <v>2692</v>
      </c>
      <c r="N327" s="4" t="s">
        <v>2501</v>
      </c>
      <c r="O327" s="4" t="s">
        <v>2650</v>
      </c>
      <c r="P327" s="4" t="s">
        <v>2602</v>
      </c>
      <c r="Q327" s="4" t="s">
        <v>2528</v>
      </c>
      <c r="R327" s="4"/>
      <c r="S327" s="4"/>
      <c r="T327" s="4" t="str">
        <f>HYPERLINK("http://slimages.macys.com/is/image/MCY/20450163 ")</f>
        <v xml:space="preserve">http://slimages.macys.com/is/image/MCY/20450163 </v>
      </c>
    </row>
    <row r="328" spans="1:20" ht="15" customHeight="1" x14ac:dyDescent="0.25">
      <c r="A328" s="4" t="s">
        <v>2489</v>
      </c>
      <c r="B328" s="2" t="s">
        <v>2487</v>
      </c>
      <c r="C328" s="2" t="s">
        <v>2488</v>
      </c>
      <c r="D328" s="5" t="s">
        <v>2490</v>
      </c>
      <c r="E328" s="4" t="s">
        <v>2491</v>
      </c>
      <c r="F328" s="6">
        <v>14210606</v>
      </c>
      <c r="G328" s="3">
        <v>14210606</v>
      </c>
      <c r="H328" s="7">
        <v>733003705954</v>
      </c>
      <c r="I328" s="8" t="s">
        <v>752</v>
      </c>
      <c r="J328" s="4">
        <v>1</v>
      </c>
      <c r="K328" s="9">
        <v>22.99</v>
      </c>
      <c r="L328" s="9">
        <v>22.99</v>
      </c>
      <c r="M328" s="4" t="s">
        <v>2850</v>
      </c>
      <c r="N328" s="4" t="s">
        <v>2514</v>
      </c>
      <c r="O328" s="4" t="s">
        <v>2628</v>
      </c>
      <c r="P328" s="4" t="s">
        <v>2602</v>
      </c>
      <c r="Q328" s="4" t="s">
        <v>2528</v>
      </c>
      <c r="R328" s="4"/>
      <c r="S328" s="4"/>
      <c r="T328" s="4" t="str">
        <f>HYPERLINK("http://slimages.macys.com/is/image/MCY/19632125 ")</f>
        <v xml:space="preserve">http://slimages.macys.com/is/image/MCY/19632125 </v>
      </c>
    </row>
    <row r="329" spans="1:20" ht="15" customHeight="1" x14ac:dyDescent="0.25">
      <c r="A329" s="4" t="s">
        <v>2489</v>
      </c>
      <c r="B329" s="2" t="s">
        <v>2487</v>
      </c>
      <c r="C329" s="2" t="s">
        <v>2488</v>
      </c>
      <c r="D329" s="5" t="s">
        <v>2490</v>
      </c>
      <c r="E329" s="4" t="s">
        <v>2491</v>
      </c>
      <c r="F329" s="6">
        <v>14210606</v>
      </c>
      <c r="G329" s="3">
        <v>14210606</v>
      </c>
      <c r="H329" s="7">
        <v>733004293818</v>
      </c>
      <c r="I329" s="8" t="s">
        <v>748</v>
      </c>
      <c r="J329" s="4">
        <v>1</v>
      </c>
      <c r="K329" s="9">
        <v>13.99</v>
      </c>
      <c r="L329" s="9">
        <v>13.99</v>
      </c>
      <c r="M329" s="4" t="s">
        <v>1267</v>
      </c>
      <c r="N329" s="4" t="s">
        <v>2600</v>
      </c>
      <c r="O329" s="4" t="s">
        <v>2601</v>
      </c>
      <c r="P329" s="4" t="s">
        <v>2503</v>
      </c>
      <c r="Q329" s="4" t="s">
        <v>2504</v>
      </c>
      <c r="R329" s="4"/>
      <c r="S329" s="4"/>
      <c r="T329" s="4" t="str">
        <f>HYPERLINK("http://slimages.macys.com/is/image/MCY/19754215 ")</f>
        <v xml:space="preserve">http://slimages.macys.com/is/image/MCY/19754215 </v>
      </c>
    </row>
    <row r="330" spans="1:20" ht="15" customHeight="1" x14ac:dyDescent="0.25">
      <c r="A330" s="4" t="s">
        <v>2489</v>
      </c>
      <c r="B330" s="2" t="s">
        <v>2487</v>
      </c>
      <c r="C330" s="2" t="s">
        <v>2488</v>
      </c>
      <c r="D330" s="5" t="s">
        <v>2490</v>
      </c>
      <c r="E330" s="4" t="s">
        <v>2491</v>
      </c>
      <c r="F330" s="6">
        <v>14210606</v>
      </c>
      <c r="G330" s="3">
        <v>14210606</v>
      </c>
      <c r="H330" s="7">
        <v>762120085663</v>
      </c>
      <c r="I330" s="8" t="s">
        <v>1569</v>
      </c>
      <c r="J330" s="4">
        <v>1</v>
      </c>
      <c r="K330" s="9">
        <v>7.99</v>
      </c>
      <c r="L330" s="9">
        <v>7.99</v>
      </c>
      <c r="M330" s="4" t="s">
        <v>3389</v>
      </c>
      <c r="N330" s="4" t="s">
        <v>2565</v>
      </c>
      <c r="O330" s="4">
        <v>5</v>
      </c>
      <c r="P330" s="4" t="s">
        <v>2602</v>
      </c>
      <c r="Q330" s="4" t="s">
        <v>2528</v>
      </c>
      <c r="R330" s="4"/>
      <c r="S330" s="4"/>
      <c r="T330" s="4" t="str">
        <f>HYPERLINK("http://slimages.macys.com/is/image/MCY/20691817 ")</f>
        <v xml:space="preserve">http://slimages.macys.com/is/image/MCY/20691817 </v>
      </c>
    </row>
    <row r="331" spans="1:20" ht="15" customHeight="1" x14ac:dyDescent="0.25">
      <c r="A331" s="4" t="s">
        <v>2489</v>
      </c>
      <c r="B331" s="2" t="s">
        <v>2487</v>
      </c>
      <c r="C331" s="2" t="s">
        <v>2488</v>
      </c>
      <c r="D331" s="5" t="s">
        <v>2490</v>
      </c>
      <c r="E331" s="4" t="s">
        <v>2491</v>
      </c>
      <c r="F331" s="6">
        <v>14210606</v>
      </c>
      <c r="G331" s="3">
        <v>14210606</v>
      </c>
      <c r="H331" s="7">
        <v>733004780721</v>
      </c>
      <c r="I331" s="8" t="s">
        <v>3204</v>
      </c>
      <c r="J331" s="4">
        <v>1</v>
      </c>
      <c r="K331" s="9">
        <v>11.99</v>
      </c>
      <c r="L331" s="9">
        <v>11.99</v>
      </c>
      <c r="M331" s="4" t="s">
        <v>3083</v>
      </c>
      <c r="N331" s="4" t="s">
        <v>2638</v>
      </c>
      <c r="O331" s="4" t="s">
        <v>2653</v>
      </c>
      <c r="P331" s="4" t="s">
        <v>2602</v>
      </c>
      <c r="Q331" s="4" t="s">
        <v>2528</v>
      </c>
      <c r="R331" s="4"/>
      <c r="S331" s="4"/>
      <c r="T331" s="4" t="str">
        <f>HYPERLINK("http://slimages.macys.com/is/image/MCY/20450174 ")</f>
        <v xml:space="preserve">http://slimages.macys.com/is/image/MCY/20450174 </v>
      </c>
    </row>
    <row r="332" spans="1:20" ht="15" customHeight="1" x14ac:dyDescent="0.25">
      <c r="A332" s="4" t="s">
        <v>2489</v>
      </c>
      <c r="B332" s="2" t="s">
        <v>2487</v>
      </c>
      <c r="C332" s="2" t="s">
        <v>2488</v>
      </c>
      <c r="D332" s="5" t="s">
        <v>2490</v>
      </c>
      <c r="E332" s="4" t="s">
        <v>2491</v>
      </c>
      <c r="F332" s="6">
        <v>14210606</v>
      </c>
      <c r="G332" s="3">
        <v>14210606</v>
      </c>
      <c r="H332" s="7">
        <v>762120084529</v>
      </c>
      <c r="I332" s="8" t="s">
        <v>1807</v>
      </c>
      <c r="J332" s="4">
        <v>1</v>
      </c>
      <c r="K332" s="9">
        <v>7.99</v>
      </c>
      <c r="L332" s="9">
        <v>7.99</v>
      </c>
      <c r="M332" s="4" t="s">
        <v>3123</v>
      </c>
      <c r="N332" s="4" t="s">
        <v>2501</v>
      </c>
      <c r="O332" s="4" t="s">
        <v>2628</v>
      </c>
      <c r="P332" s="4" t="s">
        <v>2602</v>
      </c>
      <c r="Q332" s="4" t="s">
        <v>2528</v>
      </c>
      <c r="R332" s="4"/>
      <c r="S332" s="4"/>
      <c r="T332" s="4" t="str">
        <f>HYPERLINK("http://slimages.macys.com/is/image/MCY/20691765 ")</f>
        <v xml:space="preserve">http://slimages.macys.com/is/image/MCY/20691765 </v>
      </c>
    </row>
    <row r="333" spans="1:20" ht="15" customHeight="1" x14ac:dyDescent="0.25">
      <c r="A333" s="4" t="s">
        <v>2489</v>
      </c>
      <c r="B333" s="2" t="s">
        <v>2487</v>
      </c>
      <c r="C333" s="2" t="s">
        <v>2488</v>
      </c>
      <c r="D333" s="5" t="s">
        <v>2490</v>
      </c>
      <c r="E333" s="4" t="s">
        <v>2491</v>
      </c>
      <c r="F333" s="6">
        <v>14210606</v>
      </c>
      <c r="G333" s="3">
        <v>14210606</v>
      </c>
      <c r="H333" s="7">
        <v>733004780714</v>
      </c>
      <c r="I333" s="8" t="s">
        <v>1498</v>
      </c>
      <c r="J333" s="4">
        <v>1</v>
      </c>
      <c r="K333" s="9">
        <v>11.99</v>
      </c>
      <c r="L333" s="9">
        <v>11.99</v>
      </c>
      <c r="M333" s="4" t="s">
        <v>3083</v>
      </c>
      <c r="N333" s="4" t="s">
        <v>2638</v>
      </c>
      <c r="O333" s="4" t="s">
        <v>2628</v>
      </c>
      <c r="P333" s="4" t="s">
        <v>2602</v>
      </c>
      <c r="Q333" s="4" t="s">
        <v>2528</v>
      </c>
      <c r="R333" s="4"/>
      <c r="S333" s="4"/>
      <c r="T333" s="4" t="str">
        <f>HYPERLINK("http://slimages.macys.com/is/image/MCY/20450174 ")</f>
        <v xml:space="preserve">http://slimages.macys.com/is/image/MCY/20450174 </v>
      </c>
    </row>
    <row r="334" spans="1:20" ht="15" customHeight="1" x14ac:dyDescent="0.25">
      <c r="A334" s="4" t="s">
        <v>2489</v>
      </c>
      <c r="B334" s="2" t="s">
        <v>2487</v>
      </c>
      <c r="C334" s="2" t="s">
        <v>2488</v>
      </c>
      <c r="D334" s="5" t="s">
        <v>2490</v>
      </c>
      <c r="E334" s="4" t="s">
        <v>2491</v>
      </c>
      <c r="F334" s="6">
        <v>14210606</v>
      </c>
      <c r="G334" s="3">
        <v>14210606</v>
      </c>
      <c r="H334" s="7">
        <v>733004778995</v>
      </c>
      <c r="I334" s="8" t="s">
        <v>952</v>
      </c>
      <c r="J334" s="4">
        <v>1</v>
      </c>
      <c r="K334" s="9">
        <v>7.99</v>
      </c>
      <c r="L334" s="9">
        <v>7.99</v>
      </c>
      <c r="M334" s="4" t="s">
        <v>1592</v>
      </c>
      <c r="N334" s="4" t="s">
        <v>2501</v>
      </c>
      <c r="O334" s="4" t="s">
        <v>2628</v>
      </c>
      <c r="P334" s="4" t="s">
        <v>2602</v>
      </c>
      <c r="Q334" s="4" t="s">
        <v>2528</v>
      </c>
      <c r="R334" s="4"/>
      <c r="S334" s="4"/>
      <c r="T334" s="4" t="str">
        <f>HYPERLINK("http://slimages.macys.com/is/image/MCY/20450140 ")</f>
        <v xml:space="preserve">http://slimages.macys.com/is/image/MCY/20450140 </v>
      </c>
    </row>
    <row r="335" spans="1:20" ht="15" customHeight="1" x14ac:dyDescent="0.25">
      <c r="A335" s="4" t="s">
        <v>2489</v>
      </c>
      <c r="B335" s="2" t="s">
        <v>2487</v>
      </c>
      <c r="C335" s="2" t="s">
        <v>2488</v>
      </c>
      <c r="D335" s="5" t="s">
        <v>2490</v>
      </c>
      <c r="E335" s="4" t="s">
        <v>2491</v>
      </c>
      <c r="F335" s="6">
        <v>14210606</v>
      </c>
      <c r="G335" s="3">
        <v>14210606</v>
      </c>
      <c r="H335" s="7">
        <v>194870457597</v>
      </c>
      <c r="I335" s="8" t="s">
        <v>2058</v>
      </c>
      <c r="J335" s="4">
        <v>1</v>
      </c>
      <c r="K335" s="9">
        <v>37.99</v>
      </c>
      <c r="L335" s="9">
        <v>37.99</v>
      </c>
      <c r="M335" s="4" t="s">
        <v>2059</v>
      </c>
      <c r="N335" s="4" t="s">
        <v>2497</v>
      </c>
      <c r="O335" s="4" t="s">
        <v>2519</v>
      </c>
      <c r="P335" s="4" t="s">
        <v>2499</v>
      </c>
      <c r="Q335" s="4" t="s">
        <v>2694</v>
      </c>
      <c r="R335" s="4"/>
      <c r="S335" s="4"/>
      <c r="T335" s="4" t="str">
        <f>HYPERLINK("http://slimages.macys.com/is/image/MCY/19704775 ")</f>
        <v xml:space="preserve">http://slimages.macys.com/is/image/MCY/19704775 </v>
      </c>
    </row>
    <row r="336" spans="1:20" ht="15" customHeight="1" x14ac:dyDescent="0.25">
      <c r="A336" s="4" t="s">
        <v>2489</v>
      </c>
      <c r="B336" s="2" t="s">
        <v>2487</v>
      </c>
      <c r="C336" s="2" t="s">
        <v>2488</v>
      </c>
      <c r="D336" s="5" t="s">
        <v>2490</v>
      </c>
      <c r="E336" s="4" t="s">
        <v>2491</v>
      </c>
      <c r="F336" s="6">
        <v>14210606</v>
      </c>
      <c r="G336" s="3">
        <v>14210606</v>
      </c>
      <c r="H336" s="7">
        <v>733002220403</v>
      </c>
      <c r="I336" s="8" t="s">
        <v>341</v>
      </c>
      <c r="J336" s="4">
        <v>1</v>
      </c>
      <c r="K336" s="9">
        <v>6.99</v>
      </c>
      <c r="L336" s="9">
        <v>6.99</v>
      </c>
      <c r="M336" s="4" t="s">
        <v>21</v>
      </c>
      <c r="N336" s="4" t="s">
        <v>2501</v>
      </c>
      <c r="O336" s="4" t="s">
        <v>2555</v>
      </c>
      <c r="P336" s="4" t="s">
        <v>2543</v>
      </c>
      <c r="Q336" s="4" t="s">
        <v>2528</v>
      </c>
      <c r="R336" s="4"/>
      <c r="S336" s="4"/>
      <c r="T336" s="4" t="str">
        <f>HYPERLINK("http://slimages.macys.com/is/image/MCY/17688402 ")</f>
        <v xml:space="preserve">http://slimages.macys.com/is/image/MCY/17688402 </v>
      </c>
    </row>
    <row r="337" spans="1:20" ht="15" customHeight="1" x14ac:dyDescent="0.25">
      <c r="A337" s="4" t="s">
        <v>2489</v>
      </c>
      <c r="B337" s="2" t="s">
        <v>2487</v>
      </c>
      <c r="C337" s="2" t="s">
        <v>2488</v>
      </c>
      <c r="D337" s="5" t="s">
        <v>2490</v>
      </c>
      <c r="E337" s="4" t="s">
        <v>2491</v>
      </c>
      <c r="F337" s="6">
        <v>14210606</v>
      </c>
      <c r="G337" s="3">
        <v>14210606</v>
      </c>
      <c r="H337" s="7">
        <v>193573814768</v>
      </c>
      <c r="I337" s="8" t="s">
        <v>342</v>
      </c>
      <c r="J337" s="4">
        <v>1</v>
      </c>
      <c r="K337" s="9">
        <v>32.5</v>
      </c>
      <c r="L337" s="9">
        <v>32.5</v>
      </c>
      <c r="M337" s="4" t="s">
        <v>343</v>
      </c>
      <c r="N337" s="4" t="s">
        <v>2505</v>
      </c>
      <c r="O337" s="4">
        <v>29</v>
      </c>
      <c r="P337" s="4" t="s">
        <v>2725</v>
      </c>
      <c r="Q337" s="4" t="s">
        <v>1534</v>
      </c>
      <c r="R337" s="4"/>
      <c r="S337" s="4"/>
      <c r="T337" s="4" t="str">
        <f>HYPERLINK("http://slimages.macys.com/is/image/MCY/21747628 ")</f>
        <v xml:space="preserve">http://slimages.macys.com/is/image/MCY/21747628 </v>
      </c>
    </row>
    <row r="338" spans="1:20" ht="15" customHeight="1" x14ac:dyDescent="0.25">
      <c r="A338" s="4" t="s">
        <v>2489</v>
      </c>
      <c r="B338" s="2" t="s">
        <v>2487</v>
      </c>
      <c r="C338" s="2" t="s">
        <v>2488</v>
      </c>
      <c r="D338" s="5" t="s">
        <v>2490</v>
      </c>
      <c r="E338" s="4" t="s">
        <v>2491</v>
      </c>
      <c r="F338" s="6">
        <v>14210606</v>
      </c>
      <c r="G338" s="3">
        <v>14210606</v>
      </c>
      <c r="H338" s="7">
        <v>732999564354</v>
      </c>
      <c r="I338" s="8" t="s">
        <v>344</v>
      </c>
      <c r="J338" s="4">
        <v>1</v>
      </c>
      <c r="K338" s="9">
        <v>13.99</v>
      </c>
      <c r="L338" s="9">
        <v>13.99</v>
      </c>
      <c r="M338" s="4" t="s">
        <v>1969</v>
      </c>
      <c r="N338" s="4" t="s">
        <v>2497</v>
      </c>
      <c r="O338" s="4" t="s">
        <v>2498</v>
      </c>
      <c r="P338" s="4" t="s">
        <v>2543</v>
      </c>
      <c r="Q338" s="4" t="s">
        <v>2528</v>
      </c>
      <c r="R338" s="4"/>
      <c r="S338" s="4"/>
      <c r="T338" s="4" t="str">
        <f>HYPERLINK("http://slimages.macys.com/is/image/MCY/19072355 ")</f>
        <v xml:space="preserve">http://slimages.macys.com/is/image/MCY/19072355 </v>
      </c>
    </row>
    <row r="339" spans="1:20" ht="15" customHeight="1" x14ac:dyDescent="0.25">
      <c r="A339" s="4" t="s">
        <v>2489</v>
      </c>
      <c r="B339" s="2" t="s">
        <v>2487</v>
      </c>
      <c r="C339" s="2" t="s">
        <v>2488</v>
      </c>
      <c r="D339" s="5" t="s">
        <v>2490</v>
      </c>
      <c r="E339" s="4" t="s">
        <v>2491</v>
      </c>
      <c r="F339" s="6">
        <v>14210606</v>
      </c>
      <c r="G339" s="3">
        <v>14210606</v>
      </c>
      <c r="H339" s="7">
        <v>732999561704</v>
      </c>
      <c r="I339" s="8" t="s">
        <v>345</v>
      </c>
      <c r="J339" s="4">
        <v>1</v>
      </c>
      <c r="K339" s="9">
        <v>10.99</v>
      </c>
      <c r="L339" s="9">
        <v>10.99</v>
      </c>
      <c r="M339" s="4" t="s">
        <v>346</v>
      </c>
      <c r="N339" s="4" t="s">
        <v>2497</v>
      </c>
      <c r="O339" s="4" t="s">
        <v>2498</v>
      </c>
      <c r="P339" s="4" t="s">
        <v>2543</v>
      </c>
      <c r="Q339" s="4" t="s">
        <v>2528</v>
      </c>
      <c r="R339" s="4"/>
      <c r="S339" s="4"/>
      <c r="T339" s="4" t="str">
        <f>HYPERLINK("http://slimages.macys.com/is/image/MCY/19072344 ")</f>
        <v xml:space="preserve">http://slimages.macys.com/is/image/MCY/19072344 </v>
      </c>
    </row>
    <row r="340" spans="1:20" ht="15" customHeight="1" x14ac:dyDescent="0.25">
      <c r="A340" s="4" t="s">
        <v>2489</v>
      </c>
      <c r="B340" s="2" t="s">
        <v>2487</v>
      </c>
      <c r="C340" s="2" t="s">
        <v>2488</v>
      </c>
      <c r="D340" s="5" t="s">
        <v>2490</v>
      </c>
      <c r="E340" s="4" t="s">
        <v>2491</v>
      </c>
      <c r="F340" s="6">
        <v>14210606</v>
      </c>
      <c r="G340" s="3">
        <v>14210606</v>
      </c>
      <c r="H340" s="7">
        <v>196027095263</v>
      </c>
      <c r="I340" s="8" t="s">
        <v>1705</v>
      </c>
      <c r="J340" s="4">
        <v>1</v>
      </c>
      <c r="K340" s="9">
        <v>23.99</v>
      </c>
      <c r="L340" s="9">
        <v>23.99</v>
      </c>
      <c r="M340" s="4" t="s">
        <v>347</v>
      </c>
      <c r="N340" s="4" t="s">
        <v>2544</v>
      </c>
      <c r="O340" s="10">
        <v>45084</v>
      </c>
      <c r="P340" s="4" t="s">
        <v>2569</v>
      </c>
      <c r="Q340" s="4" t="s">
        <v>2898</v>
      </c>
      <c r="R340" s="4"/>
      <c r="S340" s="4"/>
      <c r="T340" s="4" t="str">
        <f>HYPERLINK("http://slimages.macys.com/is/image/MCY/20750307 ")</f>
        <v xml:space="preserve">http://slimages.macys.com/is/image/MCY/20750307 </v>
      </c>
    </row>
    <row r="341" spans="1:20" ht="15" customHeight="1" x14ac:dyDescent="0.25">
      <c r="A341" s="4" t="s">
        <v>2489</v>
      </c>
      <c r="B341" s="2" t="s">
        <v>2487</v>
      </c>
      <c r="C341" s="2" t="s">
        <v>2488</v>
      </c>
      <c r="D341" s="5" t="s">
        <v>2490</v>
      </c>
      <c r="E341" s="4" t="s">
        <v>2491</v>
      </c>
      <c r="F341" s="6">
        <v>14210606</v>
      </c>
      <c r="G341" s="3">
        <v>14210606</v>
      </c>
      <c r="H341" s="7">
        <v>196325228899</v>
      </c>
      <c r="I341" s="8" t="s">
        <v>348</v>
      </c>
      <c r="J341" s="4">
        <v>1</v>
      </c>
      <c r="K341" s="9">
        <v>8.31</v>
      </c>
      <c r="L341" s="9">
        <v>8.31</v>
      </c>
      <c r="M341" s="4" t="s">
        <v>244</v>
      </c>
      <c r="N341" s="4" t="s">
        <v>2505</v>
      </c>
      <c r="O341" s="4" t="s">
        <v>2519</v>
      </c>
      <c r="P341" s="4" t="s">
        <v>2556</v>
      </c>
      <c r="Q341" s="4" t="s">
        <v>2527</v>
      </c>
      <c r="R341" s="4"/>
      <c r="S341" s="4"/>
      <c r="T341" s="4" t="str">
        <f>HYPERLINK("http://slimages.macys.com/is/image/MCY/20726403 ")</f>
        <v xml:space="preserve">http://slimages.macys.com/is/image/MCY/20726403 </v>
      </c>
    </row>
    <row r="342" spans="1:20" ht="15" customHeight="1" x14ac:dyDescent="0.25">
      <c r="A342" s="4" t="s">
        <v>2489</v>
      </c>
      <c r="B342" s="2" t="s">
        <v>2487</v>
      </c>
      <c r="C342" s="2" t="s">
        <v>2488</v>
      </c>
      <c r="D342" s="5" t="s">
        <v>2490</v>
      </c>
      <c r="E342" s="4" t="s">
        <v>2491</v>
      </c>
      <c r="F342" s="6">
        <v>14210606</v>
      </c>
      <c r="G342" s="3">
        <v>14210606</v>
      </c>
      <c r="H342" s="7">
        <v>195883653389</v>
      </c>
      <c r="I342" s="8" t="s">
        <v>349</v>
      </c>
      <c r="J342" s="4">
        <v>1</v>
      </c>
      <c r="K342" s="9">
        <v>9.99</v>
      </c>
      <c r="L342" s="9">
        <v>9.99</v>
      </c>
      <c r="M342" s="4" t="s">
        <v>207</v>
      </c>
      <c r="N342" s="4" t="s">
        <v>2526</v>
      </c>
      <c r="O342" s="4" t="s">
        <v>2498</v>
      </c>
      <c r="P342" s="4" t="s">
        <v>2556</v>
      </c>
      <c r="Q342" s="4" t="s">
        <v>2527</v>
      </c>
      <c r="R342" s="4"/>
      <c r="S342" s="4"/>
      <c r="T342" s="4" t="str">
        <f>HYPERLINK("http://slimages.macys.com/is/image/MCY/20732898 ")</f>
        <v xml:space="preserve">http://slimages.macys.com/is/image/MCY/20732898 </v>
      </c>
    </row>
    <row r="343" spans="1:20" ht="15" customHeight="1" x14ac:dyDescent="0.25">
      <c r="A343" s="4" t="s">
        <v>2489</v>
      </c>
      <c r="B343" s="2" t="s">
        <v>2487</v>
      </c>
      <c r="C343" s="2" t="s">
        <v>2488</v>
      </c>
      <c r="D343" s="5" t="s">
        <v>2490</v>
      </c>
      <c r="E343" s="4" t="s">
        <v>2491</v>
      </c>
      <c r="F343" s="6">
        <v>14210606</v>
      </c>
      <c r="G343" s="3">
        <v>14210606</v>
      </c>
      <c r="H343" s="7">
        <v>195883653334</v>
      </c>
      <c r="I343" s="8" t="s">
        <v>350</v>
      </c>
      <c r="J343" s="4">
        <v>1</v>
      </c>
      <c r="K343" s="9">
        <v>9.99</v>
      </c>
      <c r="L343" s="9">
        <v>9.99</v>
      </c>
      <c r="M343" s="4" t="s">
        <v>242</v>
      </c>
      <c r="N343" s="4" t="s">
        <v>2664</v>
      </c>
      <c r="O343" s="4" t="s">
        <v>2555</v>
      </c>
      <c r="P343" s="4" t="s">
        <v>2556</v>
      </c>
      <c r="Q343" s="4" t="s">
        <v>2527</v>
      </c>
      <c r="R343" s="4"/>
      <c r="S343" s="4"/>
      <c r="T343" s="4" t="str">
        <f>HYPERLINK("http://slimages.macys.com/is/image/MCY/20732907 ")</f>
        <v xml:space="preserve">http://slimages.macys.com/is/image/MCY/20732907 </v>
      </c>
    </row>
    <row r="344" spans="1:20" ht="15" customHeight="1" x14ac:dyDescent="0.25">
      <c r="A344" s="4" t="s">
        <v>2489</v>
      </c>
      <c r="B344" s="2" t="s">
        <v>2487</v>
      </c>
      <c r="C344" s="2" t="s">
        <v>2488</v>
      </c>
      <c r="D344" s="5" t="s">
        <v>2490</v>
      </c>
      <c r="E344" s="4" t="s">
        <v>2491</v>
      </c>
      <c r="F344" s="6">
        <v>14210606</v>
      </c>
      <c r="G344" s="3">
        <v>14210606</v>
      </c>
      <c r="H344" s="7">
        <v>733003805029</v>
      </c>
      <c r="I344" s="8" t="s">
        <v>3291</v>
      </c>
      <c r="J344" s="4">
        <v>5</v>
      </c>
      <c r="K344" s="9">
        <v>5.99</v>
      </c>
      <c r="L344" s="9">
        <v>29.95</v>
      </c>
      <c r="M344" s="4" t="s">
        <v>3232</v>
      </c>
      <c r="N344" s="4" t="s">
        <v>2682</v>
      </c>
      <c r="O344" s="4" t="s">
        <v>2650</v>
      </c>
      <c r="P344" s="4" t="s">
        <v>2520</v>
      </c>
      <c r="Q344" s="4" t="s">
        <v>2528</v>
      </c>
      <c r="R344" s="4"/>
      <c r="S344" s="4"/>
      <c r="T344" s="4" t="str">
        <f>HYPERLINK("http://slimages.macys.com/is/image/MCY/19239511 ")</f>
        <v xml:space="preserve">http://slimages.macys.com/is/image/MCY/19239511 </v>
      </c>
    </row>
    <row r="345" spans="1:20" ht="15" customHeight="1" x14ac:dyDescent="0.25">
      <c r="A345" s="4" t="s">
        <v>2489</v>
      </c>
      <c r="B345" s="2" t="s">
        <v>2487</v>
      </c>
      <c r="C345" s="2" t="s">
        <v>2488</v>
      </c>
      <c r="D345" s="5" t="s">
        <v>2490</v>
      </c>
      <c r="E345" s="4" t="s">
        <v>2491</v>
      </c>
      <c r="F345" s="6">
        <v>14210606</v>
      </c>
      <c r="G345" s="3">
        <v>14210606</v>
      </c>
      <c r="H345" s="7">
        <v>733002944309</v>
      </c>
      <c r="I345" s="8" t="s">
        <v>3291</v>
      </c>
      <c r="J345" s="4">
        <v>1</v>
      </c>
      <c r="K345" s="9">
        <v>5.99</v>
      </c>
      <c r="L345" s="9">
        <v>5.99</v>
      </c>
      <c r="M345" s="4" t="s">
        <v>3232</v>
      </c>
      <c r="N345" s="4" t="s">
        <v>2508</v>
      </c>
      <c r="O345" s="4" t="s">
        <v>2650</v>
      </c>
      <c r="P345" s="4" t="s">
        <v>2520</v>
      </c>
      <c r="Q345" s="4" t="s">
        <v>2528</v>
      </c>
      <c r="R345" s="4"/>
      <c r="S345" s="4"/>
      <c r="T345" s="4" t="str">
        <f>HYPERLINK("http://slimages.macys.com/is/image/MCY/19239511 ")</f>
        <v xml:space="preserve">http://slimages.macys.com/is/image/MCY/19239511 </v>
      </c>
    </row>
    <row r="346" spans="1:20" ht="15" customHeight="1" x14ac:dyDescent="0.25">
      <c r="A346" s="4" t="s">
        <v>2489</v>
      </c>
      <c r="B346" s="2" t="s">
        <v>2487</v>
      </c>
      <c r="C346" s="2" t="s">
        <v>2488</v>
      </c>
      <c r="D346" s="5" t="s">
        <v>2490</v>
      </c>
      <c r="E346" s="4" t="s">
        <v>2491</v>
      </c>
      <c r="F346" s="6">
        <v>14210606</v>
      </c>
      <c r="G346" s="3">
        <v>14210606</v>
      </c>
      <c r="H346" s="7">
        <v>194135635036</v>
      </c>
      <c r="I346" s="8" t="s">
        <v>351</v>
      </c>
      <c r="J346" s="4">
        <v>1</v>
      </c>
      <c r="K346" s="9">
        <v>17.32</v>
      </c>
      <c r="L346" s="9">
        <v>17.32</v>
      </c>
      <c r="M346" s="4" t="s">
        <v>3241</v>
      </c>
      <c r="N346" s="4"/>
      <c r="O346" s="4" t="s">
        <v>2705</v>
      </c>
      <c r="P346" s="4" t="s">
        <v>2657</v>
      </c>
      <c r="Q346" s="4" t="s">
        <v>2658</v>
      </c>
      <c r="R346" s="4"/>
      <c r="S346" s="4"/>
      <c r="T346" s="4" t="str">
        <f>HYPERLINK("http://slimages.macys.com/is/image/MCY/20193710 ")</f>
        <v xml:space="preserve">http://slimages.macys.com/is/image/MCY/20193710 </v>
      </c>
    </row>
    <row r="347" spans="1:20" ht="15" customHeight="1" x14ac:dyDescent="0.25">
      <c r="A347" s="4" t="s">
        <v>2489</v>
      </c>
      <c r="B347" s="2" t="s">
        <v>2487</v>
      </c>
      <c r="C347" s="2" t="s">
        <v>2488</v>
      </c>
      <c r="D347" s="5" t="s">
        <v>2490</v>
      </c>
      <c r="E347" s="4" t="s">
        <v>2491</v>
      </c>
      <c r="F347" s="6">
        <v>14210606</v>
      </c>
      <c r="G347" s="3">
        <v>14210606</v>
      </c>
      <c r="H347" s="7">
        <v>733003643126</v>
      </c>
      <c r="I347" s="8" t="s">
        <v>2012</v>
      </c>
      <c r="J347" s="4">
        <v>1</v>
      </c>
      <c r="K347" s="9">
        <v>21.99</v>
      </c>
      <c r="L347" s="9">
        <v>21.99</v>
      </c>
      <c r="M347" s="4" t="s">
        <v>1917</v>
      </c>
      <c r="N347" s="4" t="s">
        <v>2561</v>
      </c>
      <c r="O347" s="4" t="s">
        <v>2498</v>
      </c>
      <c r="P347" s="4" t="s">
        <v>2515</v>
      </c>
      <c r="Q347" s="4" t="s">
        <v>2516</v>
      </c>
      <c r="R347" s="4"/>
      <c r="S347" s="4"/>
      <c r="T347" s="4" t="str">
        <f>HYPERLINK("http://slimages.macys.com/is/image/MCY/20008274 ")</f>
        <v xml:space="preserve">http://slimages.macys.com/is/image/MCY/20008274 </v>
      </c>
    </row>
    <row r="348" spans="1:20" ht="15" customHeight="1" x14ac:dyDescent="0.25">
      <c r="A348" s="4" t="s">
        <v>2489</v>
      </c>
      <c r="B348" s="2" t="s">
        <v>2487</v>
      </c>
      <c r="C348" s="2" t="s">
        <v>2488</v>
      </c>
      <c r="D348" s="5" t="s">
        <v>2490</v>
      </c>
      <c r="E348" s="4" t="s">
        <v>2491</v>
      </c>
      <c r="F348" s="6">
        <v>14210606</v>
      </c>
      <c r="G348" s="3">
        <v>14210606</v>
      </c>
      <c r="H348" s="7">
        <v>733004086014</v>
      </c>
      <c r="I348" s="8" t="s">
        <v>2069</v>
      </c>
      <c r="J348" s="4">
        <v>3</v>
      </c>
      <c r="K348" s="9">
        <v>21.99</v>
      </c>
      <c r="L348" s="9">
        <v>65.97</v>
      </c>
      <c r="M348" s="4" t="s">
        <v>2004</v>
      </c>
      <c r="N348" s="4"/>
      <c r="O348" s="4" t="s">
        <v>2498</v>
      </c>
      <c r="P348" s="4" t="s">
        <v>2543</v>
      </c>
      <c r="Q348" s="4" t="s">
        <v>2528</v>
      </c>
      <c r="R348" s="4"/>
      <c r="S348" s="4"/>
      <c r="T348" s="4" t="str">
        <f>HYPERLINK("http://slimages.macys.com/is/image/MCY/19988445 ")</f>
        <v xml:space="preserve">http://slimages.macys.com/is/image/MCY/19988445 </v>
      </c>
    </row>
    <row r="349" spans="1:20" ht="15" customHeight="1" x14ac:dyDescent="0.25">
      <c r="A349" s="4" t="s">
        <v>2489</v>
      </c>
      <c r="B349" s="2" t="s">
        <v>2487</v>
      </c>
      <c r="C349" s="2" t="s">
        <v>2488</v>
      </c>
      <c r="D349" s="5" t="s">
        <v>2490</v>
      </c>
      <c r="E349" s="4" t="s">
        <v>2491</v>
      </c>
      <c r="F349" s="6">
        <v>14210606</v>
      </c>
      <c r="G349" s="3">
        <v>14210606</v>
      </c>
      <c r="H349" s="7">
        <v>733004752032</v>
      </c>
      <c r="I349" s="8" t="s">
        <v>2107</v>
      </c>
      <c r="J349" s="4">
        <v>2</v>
      </c>
      <c r="K349" s="9">
        <v>13.99</v>
      </c>
      <c r="L349" s="9">
        <v>27.98</v>
      </c>
      <c r="M349" s="4" t="s">
        <v>1796</v>
      </c>
      <c r="N349" s="4" t="s">
        <v>2523</v>
      </c>
      <c r="O349" s="4" t="s">
        <v>2498</v>
      </c>
      <c r="P349" s="4" t="s">
        <v>2543</v>
      </c>
      <c r="Q349" s="4" t="s">
        <v>2528</v>
      </c>
      <c r="R349" s="4"/>
      <c r="S349" s="4"/>
      <c r="T349" s="4" t="str">
        <f>HYPERLINK("http://slimages.macys.com/is/image/MCY/20440815 ")</f>
        <v xml:space="preserve">http://slimages.macys.com/is/image/MCY/20440815 </v>
      </c>
    </row>
    <row r="350" spans="1:20" ht="15" customHeight="1" x14ac:dyDescent="0.25">
      <c r="A350" s="4" t="s">
        <v>2489</v>
      </c>
      <c r="B350" s="2" t="s">
        <v>2487</v>
      </c>
      <c r="C350" s="2" t="s">
        <v>2488</v>
      </c>
      <c r="D350" s="5" t="s">
        <v>2490</v>
      </c>
      <c r="E350" s="4" t="s">
        <v>2491</v>
      </c>
      <c r="F350" s="6">
        <v>14210606</v>
      </c>
      <c r="G350" s="3">
        <v>14210606</v>
      </c>
      <c r="H350" s="7">
        <v>762120263900</v>
      </c>
      <c r="I350" s="8" t="s">
        <v>1602</v>
      </c>
      <c r="J350" s="4">
        <v>1</v>
      </c>
      <c r="K350" s="9">
        <v>22.99</v>
      </c>
      <c r="L350" s="9">
        <v>22.99</v>
      </c>
      <c r="M350" s="4" t="s">
        <v>1575</v>
      </c>
      <c r="N350" s="4" t="s">
        <v>2501</v>
      </c>
      <c r="O350" s="4" t="s">
        <v>2671</v>
      </c>
      <c r="P350" s="4" t="s">
        <v>2543</v>
      </c>
      <c r="Q350" s="4" t="s">
        <v>2528</v>
      </c>
      <c r="R350" s="4"/>
      <c r="S350" s="4"/>
      <c r="T350" s="4" t="str">
        <f>HYPERLINK("http://slimages.macys.com/is/image/MCY/1111487 ")</f>
        <v xml:space="preserve">http://slimages.macys.com/is/image/MCY/1111487 </v>
      </c>
    </row>
    <row r="351" spans="1:20" ht="15" customHeight="1" x14ac:dyDescent="0.25">
      <c r="A351" s="4" t="s">
        <v>2489</v>
      </c>
      <c r="B351" s="2" t="s">
        <v>2487</v>
      </c>
      <c r="C351" s="2" t="s">
        <v>2488</v>
      </c>
      <c r="D351" s="5" t="s">
        <v>2490</v>
      </c>
      <c r="E351" s="4" t="s">
        <v>2491</v>
      </c>
      <c r="F351" s="6">
        <v>14210606</v>
      </c>
      <c r="G351" s="3">
        <v>14210606</v>
      </c>
      <c r="H351" s="7">
        <v>742728723297</v>
      </c>
      <c r="I351" s="8" t="s">
        <v>352</v>
      </c>
      <c r="J351" s="4">
        <v>1</v>
      </c>
      <c r="K351" s="9">
        <v>14.99</v>
      </c>
      <c r="L351" s="9">
        <v>14.99</v>
      </c>
      <c r="M351" s="4" t="s">
        <v>353</v>
      </c>
      <c r="N351" s="4" t="s">
        <v>2739</v>
      </c>
      <c r="O351" s="4">
        <v>4</v>
      </c>
      <c r="P351" s="4" t="s">
        <v>2499</v>
      </c>
      <c r="Q351" s="4" t="s">
        <v>2765</v>
      </c>
      <c r="R351" s="4"/>
      <c r="S351" s="4"/>
      <c r="T351" s="4" t="str">
        <f>HYPERLINK("http://slimages.macys.com/is/image/MCY/19689375 ")</f>
        <v xml:space="preserve">http://slimages.macys.com/is/image/MCY/19689375 </v>
      </c>
    </row>
    <row r="352" spans="1:20" ht="15" customHeight="1" x14ac:dyDescent="0.25">
      <c r="A352" s="4" t="s">
        <v>2489</v>
      </c>
      <c r="B352" s="2" t="s">
        <v>2487</v>
      </c>
      <c r="C352" s="2" t="s">
        <v>2488</v>
      </c>
      <c r="D352" s="5" t="s">
        <v>2490</v>
      </c>
      <c r="E352" s="4" t="s">
        <v>2491</v>
      </c>
      <c r="F352" s="6">
        <v>14210606</v>
      </c>
      <c r="G352" s="3">
        <v>14210606</v>
      </c>
      <c r="H352" s="7">
        <v>195883504445</v>
      </c>
      <c r="I352" s="8" t="s">
        <v>1822</v>
      </c>
      <c r="J352" s="4">
        <v>1</v>
      </c>
      <c r="K352" s="9">
        <v>14.99</v>
      </c>
      <c r="L352" s="9">
        <v>14.99</v>
      </c>
      <c r="M352" s="4" t="s">
        <v>1823</v>
      </c>
      <c r="N352" s="4" t="s">
        <v>2544</v>
      </c>
      <c r="O352" s="4" t="s">
        <v>2671</v>
      </c>
      <c r="P352" s="4" t="s">
        <v>2536</v>
      </c>
      <c r="Q352" s="4" t="s">
        <v>3199</v>
      </c>
      <c r="R352" s="4"/>
      <c r="S352" s="4"/>
      <c r="T352" s="4" t="str">
        <f>HYPERLINK("http://slimages.macys.com/is/image/MCY/20580911 ")</f>
        <v xml:space="preserve">http://slimages.macys.com/is/image/MCY/20580911 </v>
      </c>
    </row>
    <row r="353" spans="1:20" ht="15" customHeight="1" x14ac:dyDescent="0.25">
      <c r="A353" s="4" t="s">
        <v>2489</v>
      </c>
      <c r="B353" s="2" t="s">
        <v>2487</v>
      </c>
      <c r="C353" s="2" t="s">
        <v>2488</v>
      </c>
      <c r="D353" s="5" t="s">
        <v>2490</v>
      </c>
      <c r="E353" s="4" t="s">
        <v>2491</v>
      </c>
      <c r="F353" s="6">
        <v>14210606</v>
      </c>
      <c r="G353" s="3">
        <v>14210606</v>
      </c>
      <c r="H353" s="7">
        <v>195883817637</v>
      </c>
      <c r="I353" s="8" t="s">
        <v>450</v>
      </c>
      <c r="J353" s="4">
        <v>1</v>
      </c>
      <c r="K353" s="9">
        <v>18.989999999999998</v>
      </c>
      <c r="L353" s="9">
        <v>18.989999999999998</v>
      </c>
      <c r="M353" s="4" t="s">
        <v>451</v>
      </c>
      <c r="N353" s="4" t="s">
        <v>2501</v>
      </c>
      <c r="O353" s="4" t="s">
        <v>2653</v>
      </c>
      <c r="P353" s="4" t="s">
        <v>2536</v>
      </c>
      <c r="Q353" s="4" t="s">
        <v>2944</v>
      </c>
      <c r="R353" s="4"/>
      <c r="S353" s="4"/>
      <c r="T353" s="4"/>
    </row>
    <row r="354" spans="1:20" ht="15" customHeight="1" x14ac:dyDescent="0.25">
      <c r="A354" s="4" t="s">
        <v>2489</v>
      </c>
      <c r="B354" s="2" t="s">
        <v>2487</v>
      </c>
      <c r="C354" s="2" t="s">
        <v>2488</v>
      </c>
      <c r="D354" s="5" t="s">
        <v>2490</v>
      </c>
      <c r="E354" s="4" t="s">
        <v>2491</v>
      </c>
      <c r="F354" s="6">
        <v>14210606</v>
      </c>
      <c r="G354" s="3">
        <v>14210606</v>
      </c>
      <c r="H354" s="7">
        <v>194870430682</v>
      </c>
      <c r="I354" s="8" t="s">
        <v>354</v>
      </c>
      <c r="J354" s="4">
        <v>1</v>
      </c>
      <c r="K354" s="9">
        <v>37.99</v>
      </c>
      <c r="L354" s="9">
        <v>37.99</v>
      </c>
      <c r="M354" s="4" t="s">
        <v>2900</v>
      </c>
      <c r="N354" s="4" t="s">
        <v>2805</v>
      </c>
      <c r="O354" s="4" t="s">
        <v>3085</v>
      </c>
      <c r="P354" s="4" t="s">
        <v>2619</v>
      </c>
      <c r="Q354" s="4" t="s">
        <v>2681</v>
      </c>
      <c r="R354" s="4"/>
      <c r="S354" s="4"/>
      <c r="T354" s="4" t="str">
        <f>HYPERLINK("http://slimages.macys.com/is/image/MCY/19646742 ")</f>
        <v xml:space="preserve">http://slimages.macys.com/is/image/MCY/19646742 </v>
      </c>
    </row>
    <row r="355" spans="1:20" ht="15" customHeight="1" x14ac:dyDescent="0.25">
      <c r="A355" s="4" t="s">
        <v>2489</v>
      </c>
      <c r="B355" s="2" t="s">
        <v>2487</v>
      </c>
      <c r="C355" s="2" t="s">
        <v>2488</v>
      </c>
      <c r="D355" s="5" t="s">
        <v>2490</v>
      </c>
      <c r="E355" s="4" t="s">
        <v>2491</v>
      </c>
      <c r="F355" s="6">
        <v>14210606</v>
      </c>
      <c r="G355" s="3">
        <v>14210606</v>
      </c>
      <c r="H355" s="7">
        <v>733004294495</v>
      </c>
      <c r="I355" s="8" t="s">
        <v>355</v>
      </c>
      <c r="J355" s="4">
        <v>1</v>
      </c>
      <c r="K355" s="9">
        <v>19.989999999999998</v>
      </c>
      <c r="L355" s="9">
        <v>19.989999999999998</v>
      </c>
      <c r="M355" s="4" t="s">
        <v>3334</v>
      </c>
      <c r="N355" s="4" t="s">
        <v>2600</v>
      </c>
      <c r="O355" s="4" t="s">
        <v>2493</v>
      </c>
      <c r="P355" s="4" t="s">
        <v>2503</v>
      </c>
      <c r="Q355" s="4" t="s">
        <v>2504</v>
      </c>
      <c r="R355" s="4"/>
      <c r="S355" s="4"/>
      <c r="T355" s="4" t="str">
        <f>HYPERLINK("http://slimages.macys.com/is/image/MCY/19754292 ")</f>
        <v xml:space="preserve">http://slimages.macys.com/is/image/MCY/19754292 </v>
      </c>
    </row>
    <row r="356" spans="1:20" ht="15" customHeight="1" x14ac:dyDescent="0.25">
      <c r="A356" s="4" t="s">
        <v>2489</v>
      </c>
      <c r="B356" s="2" t="s">
        <v>2487</v>
      </c>
      <c r="C356" s="2" t="s">
        <v>2488</v>
      </c>
      <c r="D356" s="5" t="s">
        <v>2490</v>
      </c>
      <c r="E356" s="4" t="s">
        <v>2491</v>
      </c>
      <c r="F356" s="6">
        <v>14210606</v>
      </c>
      <c r="G356" s="3">
        <v>14210606</v>
      </c>
      <c r="H356" s="7">
        <v>733003925666</v>
      </c>
      <c r="I356" s="8" t="s">
        <v>2126</v>
      </c>
      <c r="J356" s="4">
        <v>2</v>
      </c>
      <c r="K356" s="9">
        <v>7.99</v>
      </c>
      <c r="L356" s="9">
        <v>15.98</v>
      </c>
      <c r="M356" s="4" t="s">
        <v>2127</v>
      </c>
      <c r="N356" s="4" t="s">
        <v>2561</v>
      </c>
      <c r="O356" s="4" t="s">
        <v>2629</v>
      </c>
      <c r="P356" s="4" t="s">
        <v>2503</v>
      </c>
      <c r="Q356" s="4" t="s">
        <v>2504</v>
      </c>
      <c r="R356" s="4"/>
      <c r="S356" s="4"/>
      <c r="T356" s="4" t="str">
        <f>HYPERLINK("http://slimages.macys.com/is/image/MCY/19507784 ")</f>
        <v xml:space="preserve">http://slimages.macys.com/is/image/MCY/19507784 </v>
      </c>
    </row>
    <row r="357" spans="1:20" ht="15" customHeight="1" x14ac:dyDescent="0.25">
      <c r="A357" s="4" t="s">
        <v>2489</v>
      </c>
      <c r="B357" s="2" t="s">
        <v>2487</v>
      </c>
      <c r="C357" s="2" t="s">
        <v>2488</v>
      </c>
      <c r="D357" s="5" t="s">
        <v>2490</v>
      </c>
      <c r="E357" s="4" t="s">
        <v>2491</v>
      </c>
      <c r="F357" s="6">
        <v>14210606</v>
      </c>
      <c r="G357" s="3">
        <v>14210606</v>
      </c>
      <c r="H357" s="7">
        <v>733003924911</v>
      </c>
      <c r="I357" s="8" t="s">
        <v>82</v>
      </c>
      <c r="J357" s="4">
        <v>3</v>
      </c>
      <c r="K357" s="9">
        <v>6.99</v>
      </c>
      <c r="L357" s="9">
        <v>20.97</v>
      </c>
      <c r="M357" s="4" t="s">
        <v>83</v>
      </c>
      <c r="N357" s="4" t="s">
        <v>2561</v>
      </c>
      <c r="O357" s="4" t="s">
        <v>2559</v>
      </c>
      <c r="P357" s="4" t="s">
        <v>2503</v>
      </c>
      <c r="Q357" s="4" t="s">
        <v>2504</v>
      </c>
      <c r="R357" s="4"/>
      <c r="S357" s="4"/>
      <c r="T357" s="4" t="str">
        <f>HYPERLINK("http://slimages.macys.com/is/image/MCY/19521565 ")</f>
        <v xml:space="preserve">http://slimages.macys.com/is/image/MCY/19521565 </v>
      </c>
    </row>
    <row r="358" spans="1:20" ht="15" customHeight="1" x14ac:dyDescent="0.25">
      <c r="A358" s="4" t="s">
        <v>2489</v>
      </c>
      <c r="B358" s="2" t="s">
        <v>2487</v>
      </c>
      <c r="C358" s="2" t="s">
        <v>2488</v>
      </c>
      <c r="D358" s="5" t="s">
        <v>2490</v>
      </c>
      <c r="E358" s="4" t="s">
        <v>2491</v>
      </c>
      <c r="F358" s="6">
        <v>14210606</v>
      </c>
      <c r="G358" s="3">
        <v>14210606</v>
      </c>
      <c r="H358" s="7">
        <v>733003926175</v>
      </c>
      <c r="I358" s="8" t="s">
        <v>356</v>
      </c>
      <c r="J358" s="4">
        <v>1</v>
      </c>
      <c r="K358" s="9">
        <v>6.99</v>
      </c>
      <c r="L358" s="9">
        <v>6.99</v>
      </c>
      <c r="M358" s="4" t="s">
        <v>2909</v>
      </c>
      <c r="N358" s="4" t="s">
        <v>2561</v>
      </c>
      <c r="O358" s="4" t="s">
        <v>2566</v>
      </c>
      <c r="P358" s="4" t="s">
        <v>2503</v>
      </c>
      <c r="Q358" s="4" t="s">
        <v>2504</v>
      </c>
      <c r="R358" s="4"/>
      <c r="S358" s="4"/>
      <c r="T358" s="4" t="str">
        <f>HYPERLINK("http://slimages.macys.com/is/image/MCY/19507784 ")</f>
        <v xml:space="preserve">http://slimages.macys.com/is/image/MCY/19507784 </v>
      </c>
    </row>
    <row r="359" spans="1:20" ht="15" customHeight="1" x14ac:dyDescent="0.25">
      <c r="A359" s="4" t="s">
        <v>2489</v>
      </c>
      <c r="B359" s="2" t="s">
        <v>2487</v>
      </c>
      <c r="C359" s="2" t="s">
        <v>2488</v>
      </c>
      <c r="D359" s="5" t="s">
        <v>2490</v>
      </c>
      <c r="E359" s="4" t="s">
        <v>2491</v>
      </c>
      <c r="F359" s="6">
        <v>14210606</v>
      </c>
      <c r="G359" s="3">
        <v>14210606</v>
      </c>
      <c r="H359" s="7">
        <v>733003920739</v>
      </c>
      <c r="I359" s="8" t="s">
        <v>2846</v>
      </c>
      <c r="J359" s="4">
        <v>1</v>
      </c>
      <c r="K359" s="9">
        <v>7.99</v>
      </c>
      <c r="L359" s="9">
        <v>7.99</v>
      </c>
      <c r="M359" s="4" t="s">
        <v>2781</v>
      </c>
      <c r="N359" s="4" t="s">
        <v>2600</v>
      </c>
      <c r="O359" s="4" t="s">
        <v>2628</v>
      </c>
      <c r="P359" s="4" t="s">
        <v>2503</v>
      </c>
      <c r="Q359" s="4" t="s">
        <v>2504</v>
      </c>
      <c r="R359" s="4"/>
      <c r="S359" s="4"/>
      <c r="T359" s="4" t="str">
        <f>HYPERLINK("http://slimages.macys.com/is/image/MCY/19507927 ")</f>
        <v xml:space="preserve">http://slimages.macys.com/is/image/MCY/19507927 </v>
      </c>
    </row>
    <row r="360" spans="1:20" ht="15" customHeight="1" x14ac:dyDescent="0.25">
      <c r="A360" s="4" t="s">
        <v>2489</v>
      </c>
      <c r="B360" s="2" t="s">
        <v>2487</v>
      </c>
      <c r="C360" s="2" t="s">
        <v>2488</v>
      </c>
      <c r="D360" s="5" t="s">
        <v>2490</v>
      </c>
      <c r="E360" s="4" t="s">
        <v>2491</v>
      </c>
      <c r="F360" s="6">
        <v>14210606</v>
      </c>
      <c r="G360" s="3">
        <v>14210606</v>
      </c>
      <c r="H360" s="7">
        <v>194257500090</v>
      </c>
      <c r="I360" s="8" t="s">
        <v>357</v>
      </c>
      <c r="J360" s="4">
        <v>1</v>
      </c>
      <c r="K360" s="9">
        <v>15.99</v>
      </c>
      <c r="L360" s="9">
        <v>15.99</v>
      </c>
      <c r="M360" s="4" t="s">
        <v>2522</v>
      </c>
      <c r="N360" s="4" t="s">
        <v>2523</v>
      </c>
      <c r="O360" s="4">
        <v>6</v>
      </c>
      <c r="P360" s="4" t="s">
        <v>2499</v>
      </c>
      <c r="Q360" s="4" t="s">
        <v>2525</v>
      </c>
      <c r="R360" s="4"/>
      <c r="S360" s="4"/>
      <c r="T360" s="4" t="str">
        <f>HYPERLINK("http://slimages.macys.com/is/image/MCY/20012420 ")</f>
        <v xml:space="preserve">http://slimages.macys.com/is/image/MCY/20012420 </v>
      </c>
    </row>
    <row r="361" spans="1:20" ht="15" customHeight="1" x14ac:dyDescent="0.25">
      <c r="A361" s="4" t="s">
        <v>2489</v>
      </c>
      <c r="B361" s="2" t="s">
        <v>2487</v>
      </c>
      <c r="C361" s="2" t="s">
        <v>2488</v>
      </c>
      <c r="D361" s="5" t="s">
        <v>2490</v>
      </c>
      <c r="E361" s="4" t="s">
        <v>2491</v>
      </c>
      <c r="F361" s="6">
        <v>14210606</v>
      </c>
      <c r="G361" s="3">
        <v>14210606</v>
      </c>
      <c r="H361" s="7">
        <v>195958110670</v>
      </c>
      <c r="I361" s="8" t="s">
        <v>521</v>
      </c>
      <c r="J361" s="4">
        <v>2</v>
      </c>
      <c r="K361" s="9">
        <v>34.5</v>
      </c>
      <c r="L361" s="9">
        <v>69</v>
      </c>
      <c r="M361" s="4" t="s">
        <v>522</v>
      </c>
      <c r="N361" s="4" t="s">
        <v>2497</v>
      </c>
      <c r="O361" s="4">
        <v>5</v>
      </c>
      <c r="P361" s="4" t="s">
        <v>2714</v>
      </c>
      <c r="Q361" s="4" t="s">
        <v>2715</v>
      </c>
      <c r="R361" s="4"/>
      <c r="S361" s="4"/>
      <c r="T361" s="4" t="str">
        <f>HYPERLINK("http://slimages.macys.com/is/image/MCY/19902796 ")</f>
        <v xml:space="preserve">http://slimages.macys.com/is/image/MCY/19902796 </v>
      </c>
    </row>
    <row r="362" spans="1:20" ht="15" customHeight="1" x14ac:dyDescent="0.25">
      <c r="A362" s="4" t="s">
        <v>2489</v>
      </c>
      <c r="B362" s="2" t="s">
        <v>2487</v>
      </c>
      <c r="C362" s="2" t="s">
        <v>2488</v>
      </c>
      <c r="D362" s="5" t="s">
        <v>2490</v>
      </c>
      <c r="E362" s="4" t="s">
        <v>2491</v>
      </c>
      <c r="F362" s="6">
        <v>14210606</v>
      </c>
      <c r="G362" s="3">
        <v>14210606</v>
      </c>
      <c r="H362" s="7">
        <v>194753365551</v>
      </c>
      <c r="I362" s="8" t="s">
        <v>358</v>
      </c>
      <c r="J362" s="4">
        <v>1</v>
      </c>
      <c r="K362" s="9">
        <v>39.5</v>
      </c>
      <c r="L362" s="9">
        <v>39.5</v>
      </c>
      <c r="M362" s="4" t="s">
        <v>255</v>
      </c>
      <c r="N362" s="4" t="s">
        <v>2505</v>
      </c>
      <c r="O362" s="4">
        <v>7</v>
      </c>
      <c r="P362" s="4" t="s">
        <v>2714</v>
      </c>
      <c r="Q362" s="4" t="s">
        <v>2715</v>
      </c>
      <c r="R362" s="4"/>
      <c r="S362" s="4"/>
      <c r="T362" s="4" t="str">
        <f>HYPERLINK("http://slimages.macys.com/is/image/MCY/17785269 ")</f>
        <v xml:space="preserve">http://slimages.macys.com/is/image/MCY/17785269 </v>
      </c>
    </row>
    <row r="363" spans="1:20" ht="15" customHeight="1" x14ac:dyDescent="0.25">
      <c r="A363" s="4" t="s">
        <v>2489</v>
      </c>
      <c r="B363" s="2" t="s">
        <v>2487</v>
      </c>
      <c r="C363" s="2" t="s">
        <v>2488</v>
      </c>
      <c r="D363" s="5" t="s">
        <v>2490</v>
      </c>
      <c r="E363" s="4" t="s">
        <v>2491</v>
      </c>
      <c r="F363" s="6">
        <v>14210606</v>
      </c>
      <c r="G363" s="3">
        <v>14210606</v>
      </c>
      <c r="H363" s="7">
        <v>194958012748</v>
      </c>
      <c r="I363" s="8" t="s">
        <v>359</v>
      </c>
      <c r="J363" s="4">
        <v>1</v>
      </c>
      <c r="K363" s="9">
        <v>18.989999999999998</v>
      </c>
      <c r="L363" s="9">
        <v>18.989999999999998</v>
      </c>
      <c r="M363" s="4" t="s">
        <v>360</v>
      </c>
      <c r="N363" s="4" t="s">
        <v>2530</v>
      </c>
      <c r="O363" s="4" t="s">
        <v>2519</v>
      </c>
      <c r="P363" s="4" t="s">
        <v>2619</v>
      </c>
      <c r="Q363" s="4" t="s">
        <v>2568</v>
      </c>
      <c r="R363" s="4"/>
      <c r="S363" s="4"/>
      <c r="T363" s="4" t="str">
        <f>HYPERLINK("http://slimages.macys.com/is/image/MCY/18228034 ")</f>
        <v xml:space="preserve">http://slimages.macys.com/is/image/MCY/18228034 </v>
      </c>
    </row>
    <row r="364" spans="1:20" ht="15" customHeight="1" x14ac:dyDescent="0.25">
      <c r="A364" s="4" t="s">
        <v>2489</v>
      </c>
      <c r="B364" s="2" t="s">
        <v>2487</v>
      </c>
      <c r="C364" s="2" t="s">
        <v>2488</v>
      </c>
      <c r="D364" s="5" t="s">
        <v>2490</v>
      </c>
      <c r="E364" s="4" t="s">
        <v>2491</v>
      </c>
      <c r="F364" s="6">
        <v>14210606</v>
      </c>
      <c r="G364" s="3">
        <v>14210606</v>
      </c>
      <c r="H364" s="7">
        <v>742728750590</v>
      </c>
      <c r="I364" s="8" t="s">
        <v>361</v>
      </c>
      <c r="J364" s="4">
        <v>1</v>
      </c>
      <c r="K364" s="9">
        <v>15.99</v>
      </c>
      <c r="L364" s="9">
        <v>15.99</v>
      </c>
      <c r="M364" s="4" t="s">
        <v>362</v>
      </c>
      <c r="N364" s="4" t="s">
        <v>2535</v>
      </c>
      <c r="O364" s="4">
        <v>4</v>
      </c>
      <c r="P364" s="4" t="s">
        <v>2619</v>
      </c>
      <c r="Q364" s="4" t="s">
        <v>2733</v>
      </c>
      <c r="R364" s="4"/>
      <c r="S364" s="4"/>
      <c r="T364" s="4" t="str">
        <f>HYPERLINK("http://slimages.macys.com/is/image/MCY/19696404 ")</f>
        <v xml:space="preserve">http://slimages.macys.com/is/image/MCY/19696404 </v>
      </c>
    </row>
    <row r="365" spans="1:20" ht="15" customHeight="1" x14ac:dyDescent="0.25">
      <c r="A365" s="4" t="s">
        <v>2489</v>
      </c>
      <c r="B365" s="2" t="s">
        <v>2487</v>
      </c>
      <c r="C365" s="2" t="s">
        <v>2488</v>
      </c>
      <c r="D365" s="5" t="s">
        <v>2490</v>
      </c>
      <c r="E365" s="4" t="s">
        <v>2491</v>
      </c>
      <c r="F365" s="6">
        <v>14210606</v>
      </c>
      <c r="G365" s="3">
        <v>14210606</v>
      </c>
      <c r="H365" s="7">
        <v>742728757667</v>
      </c>
      <c r="I365" s="8" t="s">
        <v>363</v>
      </c>
      <c r="J365" s="4">
        <v>1</v>
      </c>
      <c r="K365" s="9">
        <v>25.99</v>
      </c>
      <c r="L365" s="9">
        <v>25.99</v>
      </c>
      <c r="M365" s="4" t="s">
        <v>364</v>
      </c>
      <c r="N365" s="4" t="s">
        <v>2535</v>
      </c>
      <c r="O365" s="4" t="s">
        <v>2653</v>
      </c>
      <c r="P365" s="4" t="s">
        <v>2619</v>
      </c>
      <c r="Q365" s="4" t="s">
        <v>2733</v>
      </c>
      <c r="R365" s="4"/>
      <c r="S365" s="4"/>
      <c r="T365" s="4" t="str">
        <f>HYPERLINK("http://slimages.macys.com/is/image/MCY/19696204 ")</f>
        <v xml:space="preserve">http://slimages.macys.com/is/image/MCY/19696204 </v>
      </c>
    </row>
    <row r="366" spans="1:20" ht="15" customHeight="1" x14ac:dyDescent="0.25">
      <c r="A366" s="4" t="s">
        <v>2489</v>
      </c>
      <c r="B366" s="2" t="s">
        <v>2487</v>
      </c>
      <c r="C366" s="2" t="s">
        <v>2488</v>
      </c>
      <c r="D366" s="5" t="s">
        <v>2490</v>
      </c>
      <c r="E366" s="4" t="s">
        <v>2491</v>
      </c>
      <c r="F366" s="6">
        <v>14210606</v>
      </c>
      <c r="G366" s="3">
        <v>14210606</v>
      </c>
      <c r="H366" s="7">
        <v>742728757711</v>
      </c>
      <c r="I366" s="8" t="s">
        <v>365</v>
      </c>
      <c r="J366" s="4">
        <v>1</v>
      </c>
      <c r="K366" s="9">
        <v>18.989999999999998</v>
      </c>
      <c r="L366" s="9">
        <v>18.989999999999998</v>
      </c>
      <c r="M366" s="4" t="s">
        <v>3330</v>
      </c>
      <c r="N366" s="4" t="s">
        <v>2535</v>
      </c>
      <c r="O366" s="4">
        <v>4</v>
      </c>
      <c r="P366" s="4" t="s">
        <v>2619</v>
      </c>
      <c r="Q366" s="4" t="s">
        <v>2733</v>
      </c>
      <c r="R366" s="4"/>
      <c r="S366" s="4"/>
      <c r="T366" s="4" t="str">
        <f>HYPERLINK("http://slimages.macys.com/is/image/MCY/19696198 ")</f>
        <v xml:space="preserve">http://slimages.macys.com/is/image/MCY/19696198 </v>
      </c>
    </row>
    <row r="367" spans="1:20" ht="15" customHeight="1" x14ac:dyDescent="0.25">
      <c r="A367" s="4" t="s">
        <v>2489</v>
      </c>
      <c r="B367" s="2" t="s">
        <v>2487</v>
      </c>
      <c r="C367" s="2" t="s">
        <v>2488</v>
      </c>
      <c r="D367" s="5" t="s">
        <v>2490</v>
      </c>
      <c r="E367" s="4" t="s">
        <v>2491</v>
      </c>
      <c r="F367" s="6">
        <v>14210606</v>
      </c>
      <c r="G367" s="3">
        <v>14210606</v>
      </c>
      <c r="H367" s="7">
        <v>195238038168</v>
      </c>
      <c r="I367" s="8" t="s">
        <v>2285</v>
      </c>
      <c r="J367" s="4">
        <v>1</v>
      </c>
      <c r="K367" s="9">
        <v>28.99</v>
      </c>
      <c r="L367" s="9">
        <v>28.99</v>
      </c>
      <c r="M367" s="4" t="s">
        <v>2884</v>
      </c>
      <c r="N367" s="4" t="s">
        <v>2676</v>
      </c>
      <c r="O367" s="4" t="s">
        <v>2671</v>
      </c>
      <c r="P367" s="4" t="s">
        <v>2619</v>
      </c>
      <c r="Q367" s="4" t="s">
        <v>2568</v>
      </c>
      <c r="R367" s="4"/>
      <c r="S367" s="4"/>
      <c r="T367" s="4" t="str">
        <f>HYPERLINK("http://slimages.macys.com/is/image/MCY/19219363 ")</f>
        <v xml:space="preserve">http://slimages.macys.com/is/image/MCY/19219363 </v>
      </c>
    </row>
    <row r="368" spans="1:20" ht="15" customHeight="1" x14ac:dyDescent="0.25">
      <c r="A368" s="4" t="s">
        <v>2489</v>
      </c>
      <c r="B368" s="2" t="s">
        <v>2487</v>
      </c>
      <c r="C368" s="2" t="s">
        <v>2488</v>
      </c>
      <c r="D368" s="5" t="s">
        <v>2490</v>
      </c>
      <c r="E368" s="4" t="s">
        <v>2491</v>
      </c>
      <c r="F368" s="6">
        <v>14210606</v>
      </c>
      <c r="G368" s="3">
        <v>14210606</v>
      </c>
      <c r="H368" s="7">
        <v>733004290398</v>
      </c>
      <c r="I368" s="8" t="s">
        <v>366</v>
      </c>
      <c r="J368" s="4">
        <v>3</v>
      </c>
      <c r="K368" s="9">
        <v>6.99</v>
      </c>
      <c r="L368" s="9">
        <v>20.97</v>
      </c>
      <c r="M368" s="4" t="s">
        <v>119</v>
      </c>
      <c r="N368" s="4" t="s">
        <v>2665</v>
      </c>
      <c r="O368" s="4" t="s">
        <v>2502</v>
      </c>
      <c r="P368" s="4" t="s">
        <v>2503</v>
      </c>
      <c r="Q368" s="4" t="s">
        <v>2504</v>
      </c>
      <c r="R368" s="4"/>
      <c r="S368" s="4"/>
      <c r="T368" s="4" t="str">
        <f>HYPERLINK("http://slimages.macys.com/is/image/MCY/19746503 ")</f>
        <v xml:space="preserve">http://slimages.macys.com/is/image/MCY/19746503 </v>
      </c>
    </row>
    <row r="369" spans="1:20" ht="15" customHeight="1" x14ac:dyDescent="0.25">
      <c r="A369" s="4" t="s">
        <v>2489</v>
      </c>
      <c r="B369" s="2" t="s">
        <v>2487</v>
      </c>
      <c r="C369" s="2" t="s">
        <v>2488</v>
      </c>
      <c r="D369" s="5" t="s">
        <v>2490</v>
      </c>
      <c r="E369" s="4" t="s">
        <v>2491</v>
      </c>
      <c r="F369" s="6">
        <v>14210606</v>
      </c>
      <c r="G369" s="3">
        <v>14210606</v>
      </c>
      <c r="H369" s="7">
        <v>733001175803</v>
      </c>
      <c r="I369" s="8" t="s">
        <v>367</v>
      </c>
      <c r="J369" s="4">
        <v>1</v>
      </c>
      <c r="K369" s="9">
        <v>7.99</v>
      </c>
      <c r="L369" s="9">
        <v>7.99</v>
      </c>
      <c r="M369" s="4" t="s">
        <v>3365</v>
      </c>
      <c r="N369" s="4" t="s">
        <v>2501</v>
      </c>
      <c r="O369" s="4" t="s">
        <v>2650</v>
      </c>
      <c r="P369" s="4" t="s">
        <v>2503</v>
      </c>
      <c r="Q369" s="4" t="s">
        <v>2504</v>
      </c>
      <c r="R369" s="4"/>
      <c r="S369" s="4"/>
      <c r="T369" s="4" t="str">
        <f>HYPERLINK("http://slimages.macys.com/is/image/MCY/17661733 ")</f>
        <v xml:space="preserve">http://slimages.macys.com/is/image/MCY/17661733 </v>
      </c>
    </row>
    <row r="370" spans="1:20" ht="15" customHeight="1" x14ac:dyDescent="0.25">
      <c r="A370" s="4" t="s">
        <v>2489</v>
      </c>
      <c r="B370" s="2" t="s">
        <v>2487</v>
      </c>
      <c r="C370" s="2" t="s">
        <v>2488</v>
      </c>
      <c r="D370" s="5" t="s">
        <v>2490</v>
      </c>
      <c r="E370" s="4" t="s">
        <v>2491</v>
      </c>
      <c r="F370" s="6">
        <v>14210606</v>
      </c>
      <c r="G370" s="3">
        <v>14210606</v>
      </c>
      <c r="H370" s="7">
        <v>733001175827</v>
      </c>
      <c r="I370" s="8" t="s">
        <v>368</v>
      </c>
      <c r="J370" s="4">
        <v>4</v>
      </c>
      <c r="K370" s="9">
        <v>7.99</v>
      </c>
      <c r="L370" s="9">
        <v>31.96</v>
      </c>
      <c r="M370" s="4" t="s">
        <v>3365</v>
      </c>
      <c r="N370" s="4" t="s">
        <v>2501</v>
      </c>
      <c r="O370" s="4" t="s">
        <v>2628</v>
      </c>
      <c r="P370" s="4" t="s">
        <v>2503</v>
      </c>
      <c r="Q370" s="4" t="s">
        <v>2504</v>
      </c>
      <c r="R370" s="4"/>
      <c r="S370" s="4"/>
      <c r="T370" s="4" t="str">
        <f>HYPERLINK("http://slimages.macys.com/is/image/MCY/17661733 ")</f>
        <v xml:space="preserve">http://slimages.macys.com/is/image/MCY/17661733 </v>
      </c>
    </row>
    <row r="371" spans="1:20" ht="15" customHeight="1" x14ac:dyDescent="0.25">
      <c r="A371" s="4" t="s">
        <v>2489</v>
      </c>
      <c r="B371" s="2" t="s">
        <v>2487</v>
      </c>
      <c r="C371" s="2" t="s">
        <v>2488</v>
      </c>
      <c r="D371" s="5" t="s">
        <v>2490</v>
      </c>
      <c r="E371" s="4" t="s">
        <v>2491</v>
      </c>
      <c r="F371" s="6">
        <v>14210606</v>
      </c>
      <c r="G371" s="3">
        <v>14210606</v>
      </c>
      <c r="H371" s="7">
        <v>733003925833</v>
      </c>
      <c r="I371" s="8" t="s">
        <v>369</v>
      </c>
      <c r="J371" s="4">
        <v>2</v>
      </c>
      <c r="K371" s="9">
        <v>6.99</v>
      </c>
      <c r="L371" s="9">
        <v>13.98</v>
      </c>
      <c r="M371" s="4" t="s">
        <v>2558</v>
      </c>
      <c r="N371" s="4" t="s">
        <v>2638</v>
      </c>
      <c r="O371" s="4" t="s">
        <v>2493</v>
      </c>
      <c r="P371" s="4" t="s">
        <v>2503</v>
      </c>
      <c r="Q371" s="4" t="s">
        <v>2504</v>
      </c>
      <c r="R371" s="4"/>
      <c r="S371" s="4"/>
      <c r="T371" s="4" t="str">
        <f>HYPERLINK("http://slimages.macys.com/is/image/MCY/19762874 ")</f>
        <v xml:space="preserve">http://slimages.macys.com/is/image/MCY/19762874 </v>
      </c>
    </row>
    <row r="372" spans="1:20" ht="15" customHeight="1" x14ac:dyDescent="0.25">
      <c r="A372" s="4" t="s">
        <v>2489</v>
      </c>
      <c r="B372" s="2" t="s">
        <v>2487</v>
      </c>
      <c r="C372" s="2" t="s">
        <v>2488</v>
      </c>
      <c r="D372" s="5" t="s">
        <v>2490</v>
      </c>
      <c r="E372" s="4" t="s">
        <v>2491</v>
      </c>
      <c r="F372" s="6">
        <v>14210606</v>
      </c>
      <c r="G372" s="3">
        <v>14210606</v>
      </c>
      <c r="H372" s="7">
        <v>195883273983</v>
      </c>
      <c r="I372" s="8" t="s">
        <v>370</v>
      </c>
      <c r="J372" s="4">
        <v>1</v>
      </c>
      <c r="K372" s="9">
        <v>10.99</v>
      </c>
      <c r="L372" s="9">
        <v>10.99</v>
      </c>
      <c r="M372" s="4" t="s">
        <v>1515</v>
      </c>
      <c r="N372" s="4" t="s">
        <v>2980</v>
      </c>
      <c r="O372" s="4">
        <v>4</v>
      </c>
      <c r="P372" s="4" t="s">
        <v>2536</v>
      </c>
      <c r="Q372" s="4" t="s">
        <v>2944</v>
      </c>
      <c r="R372" s="4"/>
      <c r="S372" s="4"/>
      <c r="T372" s="4" t="str">
        <f>HYPERLINK("http://slimages.macys.com/is/image/MCY/20694974 ")</f>
        <v xml:space="preserve">http://slimages.macys.com/is/image/MCY/20694974 </v>
      </c>
    </row>
    <row r="373" spans="1:20" ht="15" customHeight="1" x14ac:dyDescent="0.25">
      <c r="A373" s="4" t="s">
        <v>2489</v>
      </c>
      <c r="B373" s="2" t="s">
        <v>2487</v>
      </c>
      <c r="C373" s="2" t="s">
        <v>2488</v>
      </c>
      <c r="D373" s="5" t="s">
        <v>2490</v>
      </c>
      <c r="E373" s="4" t="s">
        <v>2491</v>
      </c>
      <c r="F373" s="6">
        <v>14210606</v>
      </c>
      <c r="G373" s="3">
        <v>14210606</v>
      </c>
      <c r="H373" s="7">
        <v>195883817705</v>
      </c>
      <c r="I373" s="8" t="s">
        <v>3258</v>
      </c>
      <c r="J373" s="4">
        <v>1</v>
      </c>
      <c r="K373" s="9">
        <v>18.989999999999998</v>
      </c>
      <c r="L373" s="9">
        <v>18.989999999999998</v>
      </c>
      <c r="M373" s="4" t="s">
        <v>3259</v>
      </c>
      <c r="N373" s="4" t="s">
        <v>2642</v>
      </c>
      <c r="O373" s="4" t="s">
        <v>2705</v>
      </c>
      <c r="P373" s="4" t="s">
        <v>2536</v>
      </c>
      <c r="Q373" s="4" t="s">
        <v>2944</v>
      </c>
      <c r="R373" s="4"/>
      <c r="S373" s="4"/>
      <c r="T373" s="4"/>
    </row>
    <row r="374" spans="1:20" ht="15" customHeight="1" x14ac:dyDescent="0.25">
      <c r="A374" s="4" t="s">
        <v>2489</v>
      </c>
      <c r="B374" s="2" t="s">
        <v>2487</v>
      </c>
      <c r="C374" s="2" t="s">
        <v>2488</v>
      </c>
      <c r="D374" s="5" t="s">
        <v>2490</v>
      </c>
      <c r="E374" s="4" t="s">
        <v>2491</v>
      </c>
      <c r="F374" s="6">
        <v>14210606</v>
      </c>
      <c r="G374" s="3">
        <v>14210606</v>
      </c>
      <c r="H374" s="7">
        <v>640013131140</v>
      </c>
      <c r="I374" s="8" t="s">
        <v>1876</v>
      </c>
      <c r="J374" s="4">
        <v>2</v>
      </c>
      <c r="K374" s="9">
        <v>13.99</v>
      </c>
      <c r="L374" s="9">
        <v>27.98</v>
      </c>
      <c r="M374" s="4" t="s">
        <v>1877</v>
      </c>
      <c r="N374" s="4" t="s">
        <v>2501</v>
      </c>
      <c r="O374" s="4" t="s">
        <v>2498</v>
      </c>
      <c r="P374" s="4" t="s">
        <v>2556</v>
      </c>
      <c r="Q374" s="4" t="s">
        <v>2557</v>
      </c>
      <c r="R374" s="4"/>
      <c r="S374" s="4"/>
      <c r="T374" s="4" t="str">
        <f>HYPERLINK("http://slimages.macys.com/is/image/MCY/20490711 ")</f>
        <v xml:space="preserve">http://slimages.macys.com/is/image/MCY/20490711 </v>
      </c>
    </row>
    <row r="375" spans="1:20" ht="15" customHeight="1" x14ac:dyDescent="0.25">
      <c r="A375" s="4" t="s">
        <v>2489</v>
      </c>
      <c r="B375" s="2" t="s">
        <v>2487</v>
      </c>
      <c r="C375" s="2" t="s">
        <v>2488</v>
      </c>
      <c r="D375" s="5" t="s">
        <v>2490</v>
      </c>
      <c r="E375" s="4" t="s">
        <v>2491</v>
      </c>
      <c r="F375" s="6">
        <v>14210606</v>
      </c>
      <c r="G375" s="3">
        <v>14210606</v>
      </c>
      <c r="H375" s="7">
        <v>762120077958</v>
      </c>
      <c r="I375" s="8" t="s">
        <v>1615</v>
      </c>
      <c r="J375" s="4">
        <v>1</v>
      </c>
      <c r="K375" s="9">
        <v>16.989999999999998</v>
      </c>
      <c r="L375" s="9">
        <v>16.989999999999998</v>
      </c>
      <c r="M375" s="4" t="s">
        <v>1780</v>
      </c>
      <c r="N375" s="4" t="s">
        <v>2523</v>
      </c>
      <c r="O375" s="4" t="s">
        <v>2629</v>
      </c>
      <c r="P375" s="4" t="s">
        <v>2520</v>
      </c>
      <c r="Q375" s="4" t="s">
        <v>2528</v>
      </c>
      <c r="R375" s="4"/>
      <c r="S375" s="4"/>
      <c r="T375" s="4" t="str">
        <f>HYPERLINK("http://slimages.macys.com/is/image/MCY/20665875 ")</f>
        <v xml:space="preserve">http://slimages.macys.com/is/image/MCY/20665875 </v>
      </c>
    </row>
    <row r="376" spans="1:20" ht="15" customHeight="1" x14ac:dyDescent="0.25">
      <c r="A376" s="4" t="s">
        <v>2489</v>
      </c>
      <c r="B376" s="2" t="s">
        <v>2487</v>
      </c>
      <c r="C376" s="2" t="s">
        <v>2488</v>
      </c>
      <c r="D376" s="5" t="s">
        <v>2490</v>
      </c>
      <c r="E376" s="4" t="s">
        <v>2491</v>
      </c>
      <c r="F376" s="6">
        <v>14210606</v>
      </c>
      <c r="G376" s="3">
        <v>14210606</v>
      </c>
      <c r="H376" s="7">
        <v>193394632596</v>
      </c>
      <c r="I376" s="8" t="s">
        <v>371</v>
      </c>
      <c r="J376" s="4">
        <v>1</v>
      </c>
      <c r="K376" s="9">
        <v>149</v>
      </c>
      <c r="L376" s="9">
        <v>149</v>
      </c>
      <c r="M376" s="4" t="s">
        <v>372</v>
      </c>
      <c r="N376" s="4" t="s">
        <v>2497</v>
      </c>
      <c r="O376" s="4"/>
      <c r="P376" s="4" t="s">
        <v>2550</v>
      </c>
      <c r="Q376" s="4" t="s">
        <v>2873</v>
      </c>
      <c r="R376" s="4"/>
      <c r="S376" s="4"/>
      <c r="T376" s="4" t="str">
        <f>HYPERLINK("http://slimages.macys.com/is/image/MCY/18539964 ")</f>
        <v xml:space="preserve">http://slimages.macys.com/is/image/MCY/18539964 </v>
      </c>
    </row>
    <row r="377" spans="1:20" ht="15" customHeight="1" x14ac:dyDescent="0.25">
      <c r="A377" s="4" t="s">
        <v>2489</v>
      </c>
      <c r="B377" s="2" t="s">
        <v>2487</v>
      </c>
      <c r="C377" s="2" t="s">
        <v>2488</v>
      </c>
      <c r="D377" s="5" t="s">
        <v>2490</v>
      </c>
      <c r="E377" s="4" t="s">
        <v>2491</v>
      </c>
      <c r="F377" s="6">
        <v>14210606</v>
      </c>
      <c r="G377" s="3">
        <v>14210606</v>
      </c>
      <c r="H377" s="7">
        <v>195883504346</v>
      </c>
      <c r="I377" s="8" t="s">
        <v>373</v>
      </c>
      <c r="J377" s="4">
        <v>1</v>
      </c>
      <c r="K377" s="9">
        <v>14.99</v>
      </c>
      <c r="L377" s="9">
        <v>14.99</v>
      </c>
      <c r="M377" s="4" t="s">
        <v>374</v>
      </c>
      <c r="N377" s="4" t="s">
        <v>2501</v>
      </c>
      <c r="O377" s="4" t="s">
        <v>2555</v>
      </c>
      <c r="P377" s="4" t="s">
        <v>2536</v>
      </c>
      <c r="Q377" s="4" t="s">
        <v>3199</v>
      </c>
      <c r="R377" s="4"/>
      <c r="S377" s="4"/>
      <c r="T377" s="4" t="str">
        <f>HYPERLINK("http://slimages.macys.com/is/image/MCY/20580915 ")</f>
        <v xml:space="preserve">http://slimages.macys.com/is/image/MCY/20580915 </v>
      </c>
    </row>
    <row r="378" spans="1:20" ht="15" customHeight="1" x14ac:dyDescent="0.25">
      <c r="A378" s="4" t="s">
        <v>2489</v>
      </c>
      <c r="B378" s="2" t="s">
        <v>2487</v>
      </c>
      <c r="C378" s="2" t="s">
        <v>2488</v>
      </c>
      <c r="D378" s="5" t="s">
        <v>2490</v>
      </c>
      <c r="E378" s="4" t="s">
        <v>2491</v>
      </c>
      <c r="F378" s="6">
        <v>14210606</v>
      </c>
      <c r="G378" s="3">
        <v>14210606</v>
      </c>
      <c r="H378" s="7">
        <v>195883942186</v>
      </c>
      <c r="I378" s="8" t="s">
        <v>3104</v>
      </c>
      <c r="J378" s="4">
        <v>1</v>
      </c>
      <c r="K378" s="9">
        <v>7.99</v>
      </c>
      <c r="L378" s="9">
        <v>7.99</v>
      </c>
      <c r="M378" s="4" t="s">
        <v>3105</v>
      </c>
      <c r="N378" s="4" t="s">
        <v>2497</v>
      </c>
      <c r="O378" s="4">
        <v>5</v>
      </c>
      <c r="P378" s="4" t="s">
        <v>2506</v>
      </c>
      <c r="Q378" s="4" t="s">
        <v>2527</v>
      </c>
      <c r="R378" s="4"/>
      <c r="S378" s="4"/>
      <c r="T378" s="4" t="str">
        <f>HYPERLINK("http://slimages.macys.com/is/image/MCY/20726226 ")</f>
        <v xml:space="preserve">http://slimages.macys.com/is/image/MCY/20726226 </v>
      </c>
    </row>
    <row r="379" spans="1:20" ht="15" customHeight="1" x14ac:dyDescent="0.25">
      <c r="A379" s="4" t="s">
        <v>2489</v>
      </c>
      <c r="B379" s="2" t="s">
        <v>2487</v>
      </c>
      <c r="C379" s="2" t="s">
        <v>2488</v>
      </c>
      <c r="D379" s="5" t="s">
        <v>2490</v>
      </c>
      <c r="E379" s="4" t="s">
        <v>2491</v>
      </c>
      <c r="F379" s="6">
        <v>14210606</v>
      </c>
      <c r="G379" s="3">
        <v>14210606</v>
      </c>
      <c r="H379" s="7">
        <v>195883642246</v>
      </c>
      <c r="I379" s="8" t="s">
        <v>1485</v>
      </c>
      <c r="J379" s="4">
        <v>1</v>
      </c>
      <c r="K379" s="9">
        <v>7.99</v>
      </c>
      <c r="L379" s="9">
        <v>7.99</v>
      </c>
      <c r="M379" s="4" t="s">
        <v>2808</v>
      </c>
      <c r="N379" s="4" t="s">
        <v>2664</v>
      </c>
      <c r="O379" s="4">
        <v>7</v>
      </c>
      <c r="P379" s="4" t="s">
        <v>2506</v>
      </c>
      <c r="Q379" s="4" t="s">
        <v>2527</v>
      </c>
      <c r="R379" s="4"/>
      <c r="S379" s="4"/>
      <c r="T379" s="4" t="str">
        <f>HYPERLINK("http://slimages.macys.com/is/image/MCY/20726218 ")</f>
        <v xml:space="preserve">http://slimages.macys.com/is/image/MCY/20726218 </v>
      </c>
    </row>
    <row r="380" spans="1:20" ht="15" customHeight="1" x14ac:dyDescent="0.25">
      <c r="A380" s="4" t="s">
        <v>2489</v>
      </c>
      <c r="B380" s="2" t="s">
        <v>2487</v>
      </c>
      <c r="C380" s="2" t="s">
        <v>2488</v>
      </c>
      <c r="D380" s="5" t="s">
        <v>2490</v>
      </c>
      <c r="E380" s="4" t="s">
        <v>2491</v>
      </c>
      <c r="F380" s="6">
        <v>14210606</v>
      </c>
      <c r="G380" s="3">
        <v>14210606</v>
      </c>
      <c r="H380" s="7">
        <v>733001130239</v>
      </c>
      <c r="I380" s="8" t="s">
        <v>375</v>
      </c>
      <c r="J380" s="4">
        <v>1</v>
      </c>
      <c r="K380" s="9">
        <v>5.99</v>
      </c>
      <c r="L380" s="9">
        <v>5.99</v>
      </c>
      <c r="M380" s="4" t="s">
        <v>2727</v>
      </c>
      <c r="N380" s="4" t="s">
        <v>3084</v>
      </c>
      <c r="O380" s="4" t="s">
        <v>2629</v>
      </c>
      <c r="P380" s="4" t="s">
        <v>2520</v>
      </c>
      <c r="Q380" s="4" t="s">
        <v>2528</v>
      </c>
      <c r="R380" s="4"/>
      <c r="S380" s="4"/>
      <c r="T380" s="4" t="str">
        <f>HYPERLINK("http://slimages.macys.com/is/image/MCY/17752086 ")</f>
        <v xml:space="preserve">http://slimages.macys.com/is/image/MCY/17752086 </v>
      </c>
    </row>
    <row r="381" spans="1:20" ht="15" customHeight="1" x14ac:dyDescent="0.25">
      <c r="A381" s="4" t="s">
        <v>2489</v>
      </c>
      <c r="B381" s="2" t="s">
        <v>2487</v>
      </c>
      <c r="C381" s="2" t="s">
        <v>2488</v>
      </c>
      <c r="D381" s="5" t="s">
        <v>2490</v>
      </c>
      <c r="E381" s="4" t="s">
        <v>2491</v>
      </c>
      <c r="F381" s="6">
        <v>14210606</v>
      </c>
      <c r="G381" s="3">
        <v>14210606</v>
      </c>
      <c r="H381" s="7">
        <v>194931135037</v>
      </c>
      <c r="I381" s="8" t="s">
        <v>376</v>
      </c>
      <c r="J381" s="4">
        <v>1</v>
      </c>
      <c r="K381" s="9">
        <v>50</v>
      </c>
      <c r="L381" s="9">
        <v>50</v>
      </c>
      <c r="M381" s="4" t="s">
        <v>377</v>
      </c>
      <c r="N381" s="4" t="s">
        <v>2531</v>
      </c>
      <c r="O381" s="4">
        <v>12</v>
      </c>
      <c r="P381" s="4" t="s">
        <v>2622</v>
      </c>
      <c r="Q381" s="4" t="s">
        <v>3089</v>
      </c>
      <c r="R381" s="4"/>
      <c r="S381" s="4"/>
      <c r="T381" s="4" t="str">
        <f>HYPERLINK("http://slimages.macys.com/is/image/MCY/18804844 ")</f>
        <v xml:space="preserve">http://slimages.macys.com/is/image/MCY/18804844 </v>
      </c>
    </row>
    <row r="382" spans="1:20" ht="15" customHeight="1" x14ac:dyDescent="0.25">
      <c r="A382" s="4" t="s">
        <v>2489</v>
      </c>
      <c r="B382" s="2" t="s">
        <v>2487</v>
      </c>
      <c r="C382" s="2" t="s">
        <v>2488</v>
      </c>
      <c r="D382" s="5" t="s">
        <v>2490</v>
      </c>
      <c r="E382" s="4" t="s">
        <v>2491</v>
      </c>
      <c r="F382" s="6">
        <v>14210606</v>
      </c>
      <c r="G382" s="3">
        <v>14210606</v>
      </c>
      <c r="H382" s="7">
        <v>195958173927</v>
      </c>
      <c r="I382" s="8" t="s">
        <v>378</v>
      </c>
      <c r="J382" s="4">
        <v>1</v>
      </c>
      <c r="K382" s="9">
        <v>21.99</v>
      </c>
      <c r="L382" s="9">
        <v>21.99</v>
      </c>
      <c r="M382" s="4" t="s">
        <v>379</v>
      </c>
      <c r="N382" s="4" t="s">
        <v>2544</v>
      </c>
      <c r="O382" s="4">
        <v>6</v>
      </c>
      <c r="P382" s="4" t="s">
        <v>2536</v>
      </c>
      <c r="Q382" s="4" t="s">
        <v>2844</v>
      </c>
      <c r="R382" s="4"/>
      <c r="S382" s="4"/>
      <c r="T382" s="4" t="str">
        <f>HYPERLINK("http://slimages.macys.com/is/image/MCY/20951945 ")</f>
        <v xml:space="preserve">http://slimages.macys.com/is/image/MCY/20951945 </v>
      </c>
    </row>
    <row r="383" spans="1:20" ht="15" customHeight="1" x14ac:dyDescent="0.25">
      <c r="A383" s="4" t="s">
        <v>2489</v>
      </c>
      <c r="B383" s="2" t="s">
        <v>2487</v>
      </c>
      <c r="C383" s="2" t="s">
        <v>2488</v>
      </c>
      <c r="D383" s="5" t="s">
        <v>2490</v>
      </c>
      <c r="E383" s="4" t="s">
        <v>2491</v>
      </c>
      <c r="F383" s="6">
        <v>14210606</v>
      </c>
      <c r="G383" s="3">
        <v>14210606</v>
      </c>
      <c r="H383" s="7">
        <v>192401261873</v>
      </c>
      <c r="I383" s="8" t="s">
        <v>380</v>
      </c>
      <c r="J383" s="4">
        <v>1</v>
      </c>
      <c r="K383" s="9">
        <v>24.99</v>
      </c>
      <c r="L383" s="9">
        <v>24.99</v>
      </c>
      <c r="M383" s="4" t="s">
        <v>2118</v>
      </c>
      <c r="N383" s="4" t="s">
        <v>2682</v>
      </c>
      <c r="O383" s="4" t="s">
        <v>2498</v>
      </c>
      <c r="P383" s="4" t="s">
        <v>2556</v>
      </c>
      <c r="Q383" s="4" t="s">
        <v>2882</v>
      </c>
      <c r="R383" s="4"/>
      <c r="S383" s="4"/>
      <c r="T383" s="4" t="str">
        <f>HYPERLINK("http://slimages.macys.com/is/image/MCY/18135296 ")</f>
        <v xml:space="preserve">http://slimages.macys.com/is/image/MCY/18135296 </v>
      </c>
    </row>
    <row r="384" spans="1:20" ht="15" customHeight="1" x14ac:dyDescent="0.25">
      <c r="A384" s="4" t="s">
        <v>2489</v>
      </c>
      <c r="B384" s="2" t="s">
        <v>2487</v>
      </c>
      <c r="C384" s="2" t="s">
        <v>2488</v>
      </c>
      <c r="D384" s="5" t="s">
        <v>2490</v>
      </c>
      <c r="E384" s="4" t="s">
        <v>2491</v>
      </c>
      <c r="F384" s="6">
        <v>14210606</v>
      </c>
      <c r="G384" s="3">
        <v>14210606</v>
      </c>
      <c r="H384" s="7">
        <v>80538129862</v>
      </c>
      <c r="I384" s="8" t="s">
        <v>2986</v>
      </c>
      <c r="J384" s="4">
        <v>1</v>
      </c>
      <c r="K384" s="9">
        <v>12.99</v>
      </c>
      <c r="L384" s="9">
        <v>12.99</v>
      </c>
      <c r="M384" s="4" t="s">
        <v>2987</v>
      </c>
      <c r="N384" s="4" t="s">
        <v>2567</v>
      </c>
      <c r="O384" s="4" t="s">
        <v>2930</v>
      </c>
      <c r="P384" s="4" t="s">
        <v>2666</v>
      </c>
      <c r="Q384" s="4" t="s">
        <v>2778</v>
      </c>
      <c r="R384" s="4"/>
      <c r="S384" s="4"/>
      <c r="T384" s="4" t="str">
        <f>HYPERLINK("http://slimages.macys.com/is/image/MCY/20052304 ")</f>
        <v xml:space="preserve">http://slimages.macys.com/is/image/MCY/20052304 </v>
      </c>
    </row>
    <row r="385" spans="1:20" ht="15" customHeight="1" x14ac:dyDescent="0.25">
      <c r="A385" s="4" t="s">
        <v>2489</v>
      </c>
      <c r="B385" s="2" t="s">
        <v>2487</v>
      </c>
      <c r="C385" s="2" t="s">
        <v>2488</v>
      </c>
      <c r="D385" s="5" t="s">
        <v>2490</v>
      </c>
      <c r="E385" s="4" t="s">
        <v>2491</v>
      </c>
      <c r="F385" s="6">
        <v>14210606</v>
      </c>
      <c r="G385" s="3">
        <v>14210606</v>
      </c>
      <c r="H385" s="7">
        <v>195189626810</v>
      </c>
      <c r="I385" s="8" t="s">
        <v>381</v>
      </c>
      <c r="J385" s="4">
        <v>1</v>
      </c>
      <c r="K385" s="9">
        <v>55</v>
      </c>
      <c r="L385" s="9">
        <v>55</v>
      </c>
      <c r="M385" s="4" t="s">
        <v>520</v>
      </c>
      <c r="N385" s="4" t="s">
        <v>2751</v>
      </c>
      <c r="O385" s="4" t="s">
        <v>2772</v>
      </c>
      <c r="P385" s="4" t="s">
        <v>2510</v>
      </c>
      <c r="Q385" s="4" t="s">
        <v>2700</v>
      </c>
      <c r="R385" s="4"/>
      <c r="S385" s="4"/>
      <c r="T385" s="4" t="str">
        <f>HYPERLINK("http://slimages.macys.com/is/image/MCY/19145001 ")</f>
        <v xml:space="preserve">http://slimages.macys.com/is/image/MCY/19145001 </v>
      </c>
    </row>
    <row r="386" spans="1:20" ht="15" customHeight="1" x14ac:dyDescent="0.25">
      <c r="A386" s="4" t="s">
        <v>2489</v>
      </c>
      <c r="B386" s="2" t="s">
        <v>2487</v>
      </c>
      <c r="C386" s="2" t="s">
        <v>2488</v>
      </c>
      <c r="D386" s="5" t="s">
        <v>2490</v>
      </c>
      <c r="E386" s="4" t="s">
        <v>2491</v>
      </c>
      <c r="F386" s="6">
        <v>14210606</v>
      </c>
      <c r="G386" s="3">
        <v>14210606</v>
      </c>
      <c r="H386" s="7">
        <v>194257512796</v>
      </c>
      <c r="I386" s="8" t="s">
        <v>382</v>
      </c>
      <c r="J386" s="4">
        <v>1</v>
      </c>
      <c r="K386" s="9">
        <v>8.99</v>
      </c>
      <c r="L386" s="9">
        <v>8.99</v>
      </c>
      <c r="M386" s="4" t="s">
        <v>383</v>
      </c>
      <c r="N386" s="4" t="s">
        <v>2728</v>
      </c>
      <c r="O386" s="4" t="s">
        <v>2519</v>
      </c>
      <c r="P386" s="4" t="s">
        <v>2619</v>
      </c>
      <c r="Q386" s="4" t="s">
        <v>2500</v>
      </c>
      <c r="R386" s="4"/>
      <c r="S386" s="4"/>
      <c r="T386" s="4" t="str">
        <f>HYPERLINK("http://slimages.macys.com/is/image/MCY/19575720 ")</f>
        <v xml:space="preserve">http://slimages.macys.com/is/image/MCY/19575720 </v>
      </c>
    </row>
    <row r="387" spans="1:20" ht="15" customHeight="1" x14ac:dyDescent="0.25">
      <c r="A387" s="4" t="s">
        <v>2489</v>
      </c>
      <c r="B387" s="2" t="s">
        <v>2487</v>
      </c>
      <c r="C387" s="2" t="s">
        <v>2488</v>
      </c>
      <c r="D387" s="5" t="s">
        <v>2490</v>
      </c>
      <c r="E387" s="4" t="s">
        <v>2491</v>
      </c>
      <c r="F387" s="6">
        <v>14210606</v>
      </c>
      <c r="G387" s="3">
        <v>14210606</v>
      </c>
      <c r="H387" s="7">
        <v>195883381350</v>
      </c>
      <c r="I387" s="8" t="s">
        <v>384</v>
      </c>
      <c r="J387" s="4">
        <v>1</v>
      </c>
      <c r="K387" s="9">
        <v>12.99</v>
      </c>
      <c r="L387" s="9">
        <v>12.99</v>
      </c>
      <c r="M387" s="4" t="s">
        <v>385</v>
      </c>
      <c r="N387" s="4" t="s">
        <v>2526</v>
      </c>
      <c r="O387" s="4">
        <v>4</v>
      </c>
      <c r="P387" s="4" t="s">
        <v>2506</v>
      </c>
      <c r="Q387" s="4" t="s">
        <v>2527</v>
      </c>
      <c r="R387" s="4"/>
      <c r="S387" s="4"/>
      <c r="T387" s="4" t="str">
        <f>HYPERLINK("http://slimages.macys.com/is/image/MCY/20192150 ")</f>
        <v xml:space="preserve">http://slimages.macys.com/is/image/MCY/20192150 </v>
      </c>
    </row>
    <row r="388" spans="1:20" ht="15" customHeight="1" x14ac:dyDescent="0.25">
      <c r="A388" s="4" t="s">
        <v>2489</v>
      </c>
      <c r="B388" s="2" t="s">
        <v>2487</v>
      </c>
      <c r="C388" s="2" t="s">
        <v>2488</v>
      </c>
      <c r="D388" s="5" t="s">
        <v>2490</v>
      </c>
      <c r="E388" s="4" t="s">
        <v>2491</v>
      </c>
      <c r="F388" s="6">
        <v>14210606</v>
      </c>
      <c r="G388" s="3">
        <v>14210606</v>
      </c>
      <c r="H388" s="7">
        <v>195945273692</v>
      </c>
      <c r="I388" s="8" t="s">
        <v>386</v>
      </c>
      <c r="J388" s="4">
        <v>1</v>
      </c>
      <c r="K388" s="9">
        <v>59</v>
      </c>
      <c r="L388" s="9">
        <v>59</v>
      </c>
      <c r="M388" s="4" t="s">
        <v>1788</v>
      </c>
      <c r="N388" s="4" t="s">
        <v>2526</v>
      </c>
      <c r="O388" s="4" t="s">
        <v>2699</v>
      </c>
      <c r="P388" s="4" t="s">
        <v>2510</v>
      </c>
      <c r="Q388" s="4" t="s">
        <v>2700</v>
      </c>
      <c r="R388" s="4"/>
      <c r="S388" s="4"/>
      <c r="T388" s="4" t="str">
        <f>HYPERLINK("http://slimages.macys.com/is/image/MCY/20037488 ")</f>
        <v xml:space="preserve">http://slimages.macys.com/is/image/MCY/20037488 </v>
      </c>
    </row>
    <row r="389" spans="1:20" ht="15" customHeight="1" x14ac:dyDescent="0.25">
      <c r="A389" s="4" t="s">
        <v>2489</v>
      </c>
      <c r="B389" s="2" t="s">
        <v>2487</v>
      </c>
      <c r="C389" s="2" t="s">
        <v>2488</v>
      </c>
      <c r="D389" s="5" t="s">
        <v>2490</v>
      </c>
      <c r="E389" s="4" t="s">
        <v>2491</v>
      </c>
      <c r="F389" s="6">
        <v>14210606</v>
      </c>
      <c r="G389" s="3">
        <v>14210606</v>
      </c>
      <c r="H389" s="7">
        <v>193605629339</v>
      </c>
      <c r="I389" s="8" t="s">
        <v>387</v>
      </c>
      <c r="J389" s="4">
        <v>1</v>
      </c>
      <c r="K389" s="9">
        <v>35</v>
      </c>
      <c r="L389" s="9">
        <v>35</v>
      </c>
      <c r="M389" s="4" t="s">
        <v>388</v>
      </c>
      <c r="N389" s="4" t="s">
        <v>2632</v>
      </c>
      <c r="O389" s="4" t="s">
        <v>3377</v>
      </c>
      <c r="P389" s="4" t="s">
        <v>2510</v>
      </c>
      <c r="Q389" s="4" t="s">
        <v>2511</v>
      </c>
      <c r="R389" s="4"/>
      <c r="S389" s="4"/>
      <c r="T389" s="4" t="str">
        <f>HYPERLINK("http://slimages.macys.com/is/image/MCY/19618065 ")</f>
        <v xml:space="preserve">http://slimages.macys.com/is/image/MCY/19618065 </v>
      </c>
    </row>
    <row r="390" spans="1:20" ht="15" customHeight="1" x14ac:dyDescent="0.25">
      <c r="A390" s="4" t="s">
        <v>2489</v>
      </c>
      <c r="B390" s="2" t="s">
        <v>2487</v>
      </c>
      <c r="C390" s="2" t="s">
        <v>2488</v>
      </c>
      <c r="D390" s="5" t="s">
        <v>2490</v>
      </c>
      <c r="E390" s="4" t="s">
        <v>2491</v>
      </c>
      <c r="F390" s="6">
        <v>14210606</v>
      </c>
      <c r="G390" s="3">
        <v>14210606</v>
      </c>
      <c r="H390" s="7">
        <v>733003581138</v>
      </c>
      <c r="I390" s="8" t="s">
        <v>1540</v>
      </c>
      <c r="J390" s="4">
        <v>1</v>
      </c>
      <c r="K390" s="9">
        <v>11.99</v>
      </c>
      <c r="L390" s="9">
        <v>11.99</v>
      </c>
      <c r="M390" s="4" t="s">
        <v>3445</v>
      </c>
      <c r="N390" s="4" t="s">
        <v>2531</v>
      </c>
      <c r="O390" s="4" t="s">
        <v>2559</v>
      </c>
      <c r="P390" s="4" t="s">
        <v>2503</v>
      </c>
      <c r="Q390" s="4" t="s">
        <v>2504</v>
      </c>
      <c r="R390" s="4"/>
      <c r="S390" s="4"/>
      <c r="T390" s="4" t="str">
        <f>HYPERLINK("http://slimages.macys.com/is/image/MCY/19589137 ")</f>
        <v xml:space="preserve">http://slimages.macys.com/is/image/MCY/19589137 </v>
      </c>
    </row>
    <row r="391" spans="1:20" ht="15" customHeight="1" x14ac:dyDescent="0.25">
      <c r="A391" s="4" t="s">
        <v>2489</v>
      </c>
      <c r="B391" s="2" t="s">
        <v>2487</v>
      </c>
      <c r="C391" s="2" t="s">
        <v>2488</v>
      </c>
      <c r="D391" s="5" t="s">
        <v>2490</v>
      </c>
      <c r="E391" s="4" t="s">
        <v>2491</v>
      </c>
      <c r="F391" s="6">
        <v>14210606</v>
      </c>
      <c r="G391" s="3">
        <v>14210606</v>
      </c>
      <c r="H391" s="7">
        <v>733004801372</v>
      </c>
      <c r="I391" s="8" t="s">
        <v>1114</v>
      </c>
      <c r="J391" s="4">
        <v>1</v>
      </c>
      <c r="K391" s="9">
        <v>12.99</v>
      </c>
      <c r="L391" s="9">
        <v>12.99</v>
      </c>
      <c r="M391" s="4" t="s">
        <v>1792</v>
      </c>
      <c r="N391" s="4" t="s">
        <v>2561</v>
      </c>
      <c r="O391" s="4" t="s">
        <v>2628</v>
      </c>
      <c r="P391" s="4" t="s">
        <v>2602</v>
      </c>
      <c r="Q391" s="4" t="s">
        <v>2528</v>
      </c>
      <c r="R391" s="4"/>
      <c r="S391" s="4"/>
      <c r="T391" s="4" t="str">
        <f>HYPERLINK("http://slimages.macys.com/is/image/MCY/1059791 ")</f>
        <v xml:space="preserve">http://slimages.macys.com/is/image/MCY/1059791 </v>
      </c>
    </row>
    <row r="392" spans="1:20" ht="15" customHeight="1" x14ac:dyDescent="0.25">
      <c r="A392" s="4" t="s">
        <v>2489</v>
      </c>
      <c r="B392" s="2" t="s">
        <v>2487</v>
      </c>
      <c r="C392" s="2" t="s">
        <v>2488</v>
      </c>
      <c r="D392" s="5" t="s">
        <v>2490</v>
      </c>
      <c r="E392" s="4" t="s">
        <v>2491</v>
      </c>
      <c r="F392" s="6">
        <v>14210606</v>
      </c>
      <c r="G392" s="3">
        <v>14210606</v>
      </c>
      <c r="H392" s="7">
        <v>762120085670</v>
      </c>
      <c r="I392" s="8" t="s">
        <v>491</v>
      </c>
      <c r="J392" s="4">
        <v>2</v>
      </c>
      <c r="K392" s="9">
        <v>7.99</v>
      </c>
      <c r="L392" s="9">
        <v>15.98</v>
      </c>
      <c r="M392" s="4" t="s">
        <v>3389</v>
      </c>
      <c r="N392" s="4" t="s">
        <v>2565</v>
      </c>
      <c r="O392" s="4">
        <v>6</v>
      </c>
      <c r="P392" s="4" t="s">
        <v>2602</v>
      </c>
      <c r="Q392" s="4" t="s">
        <v>2528</v>
      </c>
      <c r="R392" s="4"/>
      <c r="S392" s="4"/>
      <c r="T392" s="4" t="str">
        <f>HYPERLINK("http://slimages.macys.com/is/image/MCY/20691817 ")</f>
        <v xml:space="preserve">http://slimages.macys.com/is/image/MCY/20691817 </v>
      </c>
    </row>
    <row r="393" spans="1:20" ht="15" customHeight="1" x14ac:dyDescent="0.25">
      <c r="A393" s="4" t="s">
        <v>2489</v>
      </c>
      <c r="B393" s="2" t="s">
        <v>2487</v>
      </c>
      <c r="C393" s="2" t="s">
        <v>2488</v>
      </c>
      <c r="D393" s="5" t="s">
        <v>2490</v>
      </c>
      <c r="E393" s="4" t="s">
        <v>2491</v>
      </c>
      <c r="F393" s="6">
        <v>14210606</v>
      </c>
      <c r="G393" s="3">
        <v>14210606</v>
      </c>
      <c r="H393" s="7">
        <v>733004780202</v>
      </c>
      <c r="I393" s="8" t="s">
        <v>1402</v>
      </c>
      <c r="J393" s="4">
        <v>3</v>
      </c>
      <c r="K393" s="9">
        <v>7.99</v>
      </c>
      <c r="L393" s="9">
        <v>23.97</v>
      </c>
      <c r="M393" s="4" t="s">
        <v>3149</v>
      </c>
      <c r="N393" s="4" t="s">
        <v>2638</v>
      </c>
      <c r="O393" s="4" t="s">
        <v>2629</v>
      </c>
      <c r="P393" s="4" t="s">
        <v>2602</v>
      </c>
      <c r="Q393" s="4" t="s">
        <v>2528</v>
      </c>
      <c r="R393" s="4"/>
      <c r="S393" s="4"/>
      <c r="T393" s="4" t="str">
        <f>HYPERLINK("http://slimages.macys.com/is/image/MCY/20450168 ")</f>
        <v xml:space="preserve">http://slimages.macys.com/is/image/MCY/20450168 </v>
      </c>
    </row>
    <row r="394" spans="1:20" ht="15" customHeight="1" x14ac:dyDescent="0.25">
      <c r="A394" s="4" t="s">
        <v>2489</v>
      </c>
      <c r="B394" s="2" t="s">
        <v>2487</v>
      </c>
      <c r="C394" s="2" t="s">
        <v>2488</v>
      </c>
      <c r="D394" s="5" t="s">
        <v>2490</v>
      </c>
      <c r="E394" s="4" t="s">
        <v>2491</v>
      </c>
      <c r="F394" s="6">
        <v>14210606</v>
      </c>
      <c r="G394" s="3">
        <v>14210606</v>
      </c>
      <c r="H394" s="7">
        <v>733004780172</v>
      </c>
      <c r="I394" s="8" t="s">
        <v>1337</v>
      </c>
      <c r="J394" s="4">
        <v>1</v>
      </c>
      <c r="K394" s="9">
        <v>7.99</v>
      </c>
      <c r="L394" s="9">
        <v>7.99</v>
      </c>
      <c r="M394" s="4" t="s">
        <v>3149</v>
      </c>
      <c r="N394" s="4" t="s">
        <v>2638</v>
      </c>
      <c r="O394" s="4">
        <v>5</v>
      </c>
      <c r="P394" s="4" t="s">
        <v>2602</v>
      </c>
      <c r="Q394" s="4" t="s">
        <v>2528</v>
      </c>
      <c r="R394" s="4"/>
      <c r="S394" s="4"/>
      <c r="T394" s="4" t="str">
        <f>HYPERLINK("http://slimages.macys.com/is/image/MCY/20450168 ")</f>
        <v xml:space="preserve">http://slimages.macys.com/is/image/MCY/20450168 </v>
      </c>
    </row>
    <row r="395" spans="1:20" ht="15" customHeight="1" x14ac:dyDescent="0.25">
      <c r="A395" s="4" t="s">
        <v>2489</v>
      </c>
      <c r="B395" s="2" t="s">
        <v>2487</v>
      </c>
      <c r="C395" s="2" t="s">
        <v>2488</v>
      </c>
      <c r="D395" s="5" t="s">
        <v>2490</v>
      </c>
      <c r="E395" s="4" t="s">
        <v>2491</v>
      </c>
      <c r="F395" s="6">
        <v>14210606</v>
      </c>
      <c r="G395" s="3">
        <v>14210606</v>
      </c>
      <c r="H395" s="7">
        <v>733003643317</v>
      </c>
      <c r="I395" s="8" t="s">
        <v>1057</v>
      </c>
      <c r="J395" s="4">
        <v>1</v>
      </c>
      <c r="K395" s="9">
        <v>21.99</v>
      </c>
      <c r="L395" s="9">
        <v>21.99</v>
      </c>
      <c r="M395" s="4" t="s">
        <v>2113</v>
      </c>
      <c r="N395" s="4" t="s">
        <v>2632</v>
      </c>
      <c r="O395" s="4" t="s">
        <v>2498</v>
      </c>
      <c r="P395" s="4" t="s">
        <v>2515</v>
      </c>
      <c r="Q395" s="4" t="s">
        <v>2516</v>
      </c>
      <c r="R395" s="4"/>
      <c r="S395" s="4"/>
      <c r="T395" s="4" t="str">
        <f>HYPERLINK("http://slimages.macys.com/is/image/MCY/20143256 ")</f>
        <v xml:space="preserve">http://slimages.macys.com/is/image/MCY/20143256 </v>
      </c>
    </row>
    <row r="396" spans="1:20" ht="15" customHeight="1" x14ac:dyDescent="0.25">
      <c r="A396" s="4" t="s">
        <v>2489</v>
      </c>
      <c r="B396" s="2" t="s">
        <v>2487</v>
      </c>
      <c r="C396" s="2" t="s">
        <v>2488</v>
      </c>
      <c r="D396" s="5" t="s">
        <v>2490</v>
      </c>
      <c r="E396" s="4" t="s">
        <v>2491</v>
      </c>
      <c r="F396" s="6">
        <v>14210606</v>
      </c>
      <c r="G396" s="3">
        <v>14210606</v>
      </c>
      <c r="H396" s="7">
        <v>733003643300</v>
      </c>
      <c r="I396" s="8" t="s">
        <v>389</v>
      </c>
      <c r="J396" s="4">
        <v>2</v>
      </c>
      <c r="K396" s="9">
        <v>21.99</v>
      </c>
      <c r="L396" s="9">
        <v>43.98</v>
      </c>
      <c r="M396" s="4" t="s">
        <v>2113</v>
      </c>
      <c r="N396" s="4" t="s">
        <v>2632</v>
      </c>
      <c r="O396" s="4" t="s">
        <v>2555</v>
      </c>
      <c r="P396" s="4" t="s">
        <v>2515</v>
      </c>
      <c r="Q396" s="4" t="s">
        <v>2516</v>
      </c>
      <c r="R396" s="4"/>
      <c r="S396" s="4"/>
      <c r="T396" s="4" t="str">
        <f>HYPERLINK("http://slimages.macys.com/is/image/MCY/20143256 ")</f>
        <v xml:space="preserve">http://slimages.macys.com/is/image/MCY/20143256 </v>
      </c>
    </row>
    <row r="397" spans="1:20" ht="15" customHeight="1" x14ac:dyDescent="0.25">
      <c r="A397" s="4" t="s">
        <v>2489</v>
      </c>
      <c r="B397" s="2" t="s">
        <v>2487</v>
      </c>
      <c r="C397" s="2" t="s">
        <v>2488</v>
      </c>
      <c r="D397" s="5" t="s">
        <v>2490</v>
      </c>
      <c r="E397" s="4" t="s">
        <v>2491</v>
      </c>
      <c r="F397" s="6">
        <v>14210606</v>
      </c>
      <c r="G397" s="3">
        <v>14210606</v>
      </c>
      <c r="H397" s="7">
        <v>733004800528</v>
      </c>
      <c r="I397" s="8" t="s">
        <v>2005</v>
      </c>
      <c r="J397" s="4">
        <v>1</v>
      </c>
      <c r="K397" s="9">
        <v>12.99</v>
      </c>
      <c r="L397" s="9">
        <v>12.99</v>
      </c>
      <c r="M397" s="4" t="s">
        <v>2724</v>
      </c>
      <c r="N397" s="4" t="s">
        <v>2492</v>
      </c>
      <c r="O397" s="4">
        <v>5</v>
      </c>
      <c r="P397" s="4" t="s">
        <v>2602</v>
      </c>
      <c r="Q397" s="4" t="s">
        <v>2528</v>
      </c>
      <c r="R397" s="4"/>
      <c r="S397" s="4"/>
      <c r="T397" s="4" t="str">
        <f>HYPERLINK("http://slimages.macys.com/is/image/MCY/1030526 ")</f>
        <v xml:space="preserve">http://slimages.macys.com/is/image/MCY/1030526 </v>
      </c>
    </row>
    <row r="398" spans="1:20" ht="15" customHeight="1" x14ac:dyDescent="0.25">
      <c r="A398" s="4" t="s">
        <v>2489</v>
      </c>
      <c r="B398" s="2" t="s">
        <v>2487</v>
      </c>
      <c r="C398" s="2" t="s">
        <v>2488</v>
      </c>
      <c r="D398" s="5" t="s">
        <v>2490</v>
      </c>
      <c r="E398" s="4" t="s">
        <v>2491</v>
      </c>
      <c r="F398" s="6">
        <v>14210606</v>
      </c>
      <c r="G398" s="3">
        <v>14210606</v>
      </c>
      <c r="H398" s="7">
        <v>733004730535</v>
      </c>
      <c r="I398" s="8" t="s">
        <v>390</v>
      </c>
      <c r="J398" s="4">
        <v>3</v>
      </c>
      <c r="K398" s="9">
        <v>7.99</v>
      </c>
      <c r="L398" s="9">
        <v>23.97</v>
      </c>
      <c r="M398" s="4" t="s">
        <v>3001</v>
      </c>
      <c r="N398" s="4" t="s">
        <v>2571</v>
      </c>
      <c r="O398" s="4">
        <v>6</v>
      </c>
      <c r="P398" s="4" t="s">
        <v>2520</v>
      </c>
      <c r="Q398" s="4" t="s">
        <v>2528</v>
      </c>
      <c r="R398" s="4"/>
      <c r="S398" s="4"/>
      <c r="T398" s="4" t="str">
        <f>HYPERLINK("http://slimages.macys.com/is/image/MCY/20441355 ")</f>
        <v xml:space="preserve">http://slimages.macys.com/is/image/MCY/20441355 </v>
      </c>
    </row>
    <row r="399" spans="1:20" ht="15" customHeight="1" x14ac:dyDescent="0.25">
      <c r="A399" s="4" t="s">
        <v>2489</v>
      </c>
      <c r="B399" s="2" t="s">
        <v>2487</v>
      </c>
      <c r="C399" s="2" t="s">
        <v>2488</v>
      </c>
      <c r="D399" s="5" t="s">
        <v>2490</v>
      </c>
      <c r="E399" s="4" t="s">
        <v>2491</v>
      </c>
      <c r="F399" s="6">
        <v>14210606</v>
      </c>
      <c r="G399" s="3">
        <v>14210606</v>
      </c>
      <c r="H399" s="7">
        <v>762120020152</v>
      </c>
      <c r="I399" s="8" t="s">
        <v>3234</v>
      </c>
      <c r="J399" s="4">
        <v>1</v>
      </c>
      <c r="K399" s="9">
        <v>6.99</v>
      </c>
      <c r="L399" s="9">
        <v>6.99</v>
      </c>
      <c r="M399" s="4" t="s">
        <v>3235</v>
      </c>
      <c r="N399" s="4" t="s">
        <v>2638</v>
      </c>
      <c r="O399" s="4" t="s">
        <v>2601</v>
      </c>
      <c r="P399" s="4" t="s">
        <v>2503</v>
      </c>
      <c r="Q399" s="4" t="s">
        <v>2504</v>
      </c>
      <c r="R399" s="4"/>
      <c r="S399" s="4"/>
      <c r="T399" s="4" t="str">
        <f>HYPERLINK("http://slimages.macys.com/is/image/MCY/20436495 ")</f>
        <v xml:space="preserve">http://slimages.macys.com/is/image/MCY/20436495 </v>
      </c>
    </row>
    <row r="400" spans="1:20" ht="15" customHeight="1" x14ac:dyDescent="0.25">
      <c r="A400" s="4" t="s">
        <v>2489</v>
      </c>
      <c r="B400" s="2" t="s">
        <v>2487</v>
      </c>
      <c r="C400" s="2" t="s">
        <v>2488</v>
      </c>
      <c r="D400" s="5" t="s">
        <v>2490</v>
      </c>
      <c r="E400" s="4" t="s">
        <v>2491</v>
      </c>
      <c r="F400" s="6">
        <v>14210606</v>
      </c>
      <c r="G400" s="3">
        <v>14210606</v>
      </c>
      <c r="H400" s="7">
        <v>733004730573</v>
      </c>
      <c r="I400" s="8" t="s">
        <v>3000</v>
      </c>
      <c r="J400" s="4">
        <v>1</v>
      </c>
      <c r="K400" s="9">
        <v>7.99</v>
      </c>
      <c r="L400" s="9">
        <v>7.99</v>
      </c>
      <c r="M400" s="4" t="s">
        <v>3001</v>
      </c>
      <c r="N400" s="4" t="s">
        <v>2571</v>
      </c>
      <c r="O400" s="4" t="s">
        <v>2629</v>
      </c>
      <c r="P400" s="4" t="s">
        <v>2520</v>
      </c>
      <c r="Q400" s="4" t="s">
        <v>2528</v>
      </c>
      <c r="R400" s="4"/>
      <c r="S400" s="4"/>
      <c r="T400" s="4" t="str">
        <f>HYPERLINK("http://slimages.macys.com/is/image/MCY/20441687 ")</f>
        <v xml:space="preserve">http://slimages.macys.com/is/image/MCY/20441687 </v>
      </c>
    </row>
    <row r="401" spans="1:20" ht="15" customHeight="1" x14ac:dyDescent="0.25">
      <c r="A401" s="4" t="s">
        <v>2489</v>
      </c>
      <c r="B401" s="2" t="s">
        <v>2487</v>
      </c>
      <c r="C401" s="2" t="s">
        <v>2488</v>
      </c>
      <c r="D401" s="5" t="s">
        <v>2490</v>
      </c>
      <c r="E401" s="4" t="s">
        <v>2491</v>
      </c>
      <c r="F401" s="6">
        <v>14210606</v>
      </c>
      <c r="G401" s="3">
        <v>14210606</v>
      </c>
      <c r="H401" s="7">
        <v>733004730528</v>
      </c>
      <c r="I401" s="8" t="s">
        <v>391</v>
      </c>
      <c r="J401" s="4">
        <v>1</v>
      </c>
      <c r="K401" s="9">
        <v>7.99</v>
      </c>
      <c r="L401" s="9">
        <v>7.99</v>
      </c>
      <c r="M401" s="4" t="s">
        <v>3001</v>
      </c>
      <c r="N401" s="4" t="s">
        <v>2571</v>
      </c>
      <c r="O401" s="4">
        <v>5</v>
      </c>
      <c r="P401" s="4" t="s">
        <v>2520</v>
      </c>
      <c r="Q401" s="4" t="s">
        <v>2528</v>
      </c>
      <c r="R401" s="4"/>
      <c r="S401" s="4"/>
      <c r="T401" s="4" t="str">
        <f>HYPERLINK("http://slimages.macys.com/is/image/MCY/20441355 ")</f>
        <v xml:space="preserve">http://slimages.macys.com/is/image/MCY/20441355 </v>
      </c>
    </row>
    <row r="402" spans="1:20" ht="15" customHeight="1" x14ac:dyDescent="0.25">
      <c r="A402" s="4" t="s">
        <v>2489</v>
      </c>
      <c r="B402" s="2" t="s">
        <v>2487</v>
      </c>
      <c r="C402" s="2" t="s">
        <v>2488</v>
      </c>
      <c r="D402" s="5" t="s">
        <v>2490</v>
      </c>
      <c r="E402" s="4" t="s">
        <v>2491</v>
      </c>
      <c r="F402" s="6">
        <v>14210606</v>
      </c>
      <c r="G402" s="3">
        <v>14210606</v>
      </c>
      <c r="H402" s="7">
        <v>733004738432</v>
      </c>
      <c r="I402" s="8" t="s">
        <v>1980</v>
      </c>
      <c r="J402" s="4">
        <v>1</v>
      </c>
      <c r="K402" s="9">
        <v>6.99</v>
      </c>
      <c r="L402" s="9">
        <v>6.99</v>
      </c>
      <c r="M402" s="4" t="s">
        <v>1979</v>
      </c>
      <c r="N402" s="4" t="s">
        <v>2501</v>
      </c>
      <c r="O402" s="4" t="s">
        <v>2493</v>
      </c>
      <c r="P402" s="4" t="s">
        <v>2503</v>
      </c>
      <c r="Q402" s="4" t="s">
        <v>2504</v>
      </c>
      <c r="R402" s="4"/>
      <c r="S402" s="4"/>
      <c r="T402" s="4" t="str">
        <f>HYPERLINK("http://slimages.macys.com/is/image/MCY/19977830 ")</f>
        <v xml:space="preserve">http://slimages.macys.com/is/image/MCY/19977830 </v>
      </c>
    </row>
    <row r="403" spans="1:20" ht="15" customHeight="1" x14ac:dyDescent="0.25">
      <c r="A403" s="4" t="s">
        <v>2489</v>
      </c>
      <c r="B403" s="2" t="s">
        <v>2487</v>
      </c>
      <c r="C403" s="2" t="s">
        <v>2488</v>
      </c>
      <c r="D403" s="5" t="s">
        <v>2490</v>
      </c>
      <c r="E403" s="4" t="s">
        <v>2491</v>
      </c>
      <c r="F403" s="6">
        <v>14210606</v>
      </c>
      <c r="G403" s="3">
        <v>14210606</v>
      </c>
      <c r="H403" s="7">
        <v>733004740022</v>
      </c>
      <c r="I403" s="8" t="s">
        <v>876</v>
      </c>
      <c r="J403" s="4">
        <v>1</v>
      </c>
      <c r="K403" s="9">
        <v>5.99</v>
      </c>
      <c r="L403" s="9">
        <v>5.99</v>
      </c>
      <c r="M403" s="4" t="s">
        <v>3357</v>
      </c>
      <c r="N403" s="4" t="s">
        <v>2501</v>
      </c>
      <c r="O403" s="4" t="s">
        <v>2493</v>
      </c>
      <c r="P403" s="4" t="s">
        <v>2503</v>
      </c>
      <c r="Q403" s="4" t="s">
        <v>2504</v>
      </c>
      <c r="R403" s="4"/>
      <c r="S403" s="4"/>
      <c r="T403" s="4" t="str">
        <f>HYPERLINK("http://slimages.macys.com/is/image/MCY/19977819 ")</f>
        <v xml:space="preserve">http://slimages.macys.com/is/image/MCY/19977819 </v>
      </c>
    </row>
    <row r="404" spans="1:20" ht="15" customHeight="1" x14ac:dyDescent="0.25">
      <c r="A404" s="4" t="s">
        <v>2489</v>
      </c>
      <c r="B404" s="2" t="s">
        <v>2487</v>
      </c>
      <c r="C404" s="2" t="s">
        <v>2488</v>
      </c>
      <c r="D404" s="5" t="s">
        <v>2490</v>
      </c>
      <c r="E404" s="4" t="s">
        <v>2491</v>
      </c>
      <c r="F404" s="6">
        <v>14210606</v>
      </c>
      <c r="G404" s="3">
        <v>14210606</v>
      </c>
      <c r="H404" s="7">
        <v>194257620828</v>
      </c>
      <c r="I404" s="8" t="s">
        <v>1812</v>
      </c>
      <c r="J404" s="4">
        <v>1</v>
      </c>
      <c r="K404" s="9">
        <v>17.989999999999998</v>
      </c>
      <c r="L404" s="9">
        <v>17.989999999999998</v>
      </c>
      <c r="M404" s="4" t="s">
        <v>3147</v>
      </c>
      <c r="N404" s="4" t="s">
        <v>2497</v>
      </c>
      <c r="O404" s="4" t="s">
        <v>2498</v>
      </c>
      <c r="P404" s="4" t="s">
        <v>2619</v>
      </c>
      <c r="Q404" s="4" t="s">
        <v>2500</v>
      </c>
      <c r="R404" s="4"/>
      <c r="S404" s="4"/>
      <c r="T404" s="4" t="str">
        <f>HYPERLINK("http://slimages.macys.com/is/image/MCY/19933283 ")</f>
        <v xml:space="preserve">http://slimages.macys.com/is/image/MCY/19933283 </v>
      </c>
    </row>
    <row r="405" spans="1:20" ht="15" customHeight="1" x14ac:dyDescent="0.25">
      <c r="A405" s="4" t="s">
        <v>2489</v>
      </c>
      <c r="B405" s="2" t="s">
        <v>2487</v>
      </c>
      <c r="C405" s="2" t="s">
        <v>2488</v>
      </c>
      <c r="D405" s="5" t="s">
        <v>2490</v>
      </c>
      <c r="E405" s="4" t="s">
        <v>2491</v>
      </c>
      <c r="F405" s="6">
        <v>14210606</v>
      </c>
      <c r="G405" s="3">
        <v>14210606</v>
      </c>
      <c r="H405" s="7">
        <v>733004780059</v>
      </c>
      <c r="I405" s="8" t="s">
        <v>2135</v>
      </c>
      <c r="J405" s="4">
        <v>1</v>
      </c>
      <c r="K405" s="9">
        <v>7.99</v>
      </c>
      <c r="L405" s="9">
        <v>7.99</v>
      </c>
      <c r="M405" s="4" t="s">
        <v>2692</v>
      </c>
      <c r="N405" s="4" t="s">
        <v>2501</v>
      </c>
      <c r="O405" s="4">
        <v>5</v>
      </c>
      <c r="P405" s="4" t="s">
        <v>2602</v>
      </c>
      <c r="Q405" s="4" t="s">
        <v>2528</v>
      </c>
      <c r="R405" s="4"/>
      <c r="S405" s="4"/>
      <c r="T405" s="4" t="str">
        <f>HYPERLINK("http://slimages.macys.com/is/image/MCY/20450163 ")</f>
        <v xml:space="preserve">http://slimages.macys.com/is/image/MCY/20450163 </v>
      </c>
    </row>
    <row r="406" spans="1:20" ht="15" customHeight="1" x14ac:dyDescent="0.25">
      <c r="A406" s="4" t="s">
        <v>2489</v>
      </c>
      <c r="B406" s="2" t="s">
        <v>2487</v>
      </c>
      <c r="C406" s="2" t="s">
        <v>2488</v>
      </c>
      <c r="D406" s="5" t="s">
        <v>2490</v>
      </c>
      <c r="E406" s="4" t="s">
        <v>2491</v>
      </c>
      <c r="F406" s="6">
        <v>14210606</v>
      </c>
      <c r="G406" s="3">
        <v>14210606</v>
      </c>
      <c r="H406" s="7">
        <v>762120085496</v>
      </c>
      <c r="I406" s="8" t="s">
        <v>392</v>
      </c>
      <c r="J406" s="4">
        <v>1</v>
      </c>
      <c r="K406" s="9">
        <v>7.99</v>
      </c>
      <c r="L406" s="9">
        <v>7.99</v>
      </c>
      <c r="M406" s="4" t="s">
        <v>1714</v>
      </c>
      <c r="N406" s="4" t="s">
        <v>2567</v>
      </c>
      <c r="O406" s="4">
        <v>5</v>
      </c>
      <c r="P406" s="4" t="s">
        <v>2602</v>
      </c>
      <c r="Q406" s="4" t="s">
        <v>2528</v>
      </c>
      <c r="R406" s="4"/>
      <c r="S406" s="4"/>
      <c r="T406" s="4" t="str">
        <f>HYPERLINK("http://slimages.macys.com/is/image/MCY/20691938 ")</f>
        <v xml:space="preserve">http://slimages.macys.com/is/image/MCY/20691938 </v>
      </c>
    </row>
    <row r="407" spans="1:20" ht="15" customHeight="1" x14ac:dyDescent="0.25">
      <c r="A407" s="4" t="s">
        <v>2489</v>
      </c>
      <c r="B407" s="2" t="s">
        <v>2487</v>
      </c>
      <c r="C407" s="2" t="s">
        <v>2488</v>
      </c>
      <c r="D407" s="5" t="s">
        <v>2490</v>
      </c>
      <c r="E407" s="4" t="s">
        <v>2491</v>
      </c>
      <c r="F407" s="6">
        <v>14210606</v>
      </c>
      <c r="G407" s="3">
        <v>14210606</v>
      </c>
      <c r="H407" s="7">
        <v>733004781070</v>
      </c>
      <c r="I407" s="8" t="s">
        <v>1550</v>
      </c>
      <c r="J407" s="4">
        <v>1</v>
      </c>
      <c r="K407" s="9">
        <v>11.99</v>
      </c>
      <c r="L407" s="9">
        <v>11.99</v>
      </c>
      <c r="M407" s="4" t="s">
        <v>3083</v>
      </c>
      <c r="N407" s="4" t="s">
        <v>2561</v>
      </c>
      <c r="O407" s="4" t="s">
        <v>2629</v>
      </c>
      <c r="P407" s="4" t="s">
        <v>2602</v>
      </c>
      <c r="Q407" s="4" t="s">
        <v>2528</v>
      </c>
      <c r="R407" s="4"/>
      <c r="S407" s="4"/>
      <c r="T407" s="4" t="str">
        <f>HYPERLINK("http://slimages.macys.com/is/image/MCY/20450174 ")</f>
        <v xml:space="preserve">http://slimages.macys.com/is/image/MCY/20450174 </v>
      </c>
    </row>
    <row r="408" spans="1:20" ht="15" customHeight="1" x14ac:dyDescent="0.25">
      <c r="A408" s="4" t="s">
        <v>2489</v>
      </c>
      <c r="B408" s="2" t="s">
        <v>2487</v>
      </c>
      <c r="C408" s="2" t="s">
        <v>2488</v>
      </c>
      <c r="D408" s="5" t="s">
        <v>2490</v>
      </c>
      <c r="E408" s="4" t="s">
        <v>2491</v>
      </c>
      <c r="F408" s="6">
        <v>14210606</v>
      </c>
      <c r="G408" s="3">
        <v>14210606</v>
      </c>
      <c r="H408" s="7">
        <v>762120086431</v>
      </c>
      <c r="I408" s="8" t="s">
        <v>1775</v>
      </c>
      <c r="J408" s="4">
        <v>1</v>
      </c>
      <c r="K408" s="9">
        <v>7.99</v>
      </c>
      <c r="L408" s="9">
        <v>7.99</v>
      </c>
      <c r="M408" s="4" t="s">
        <v>1776</v>
      </c>
      <c r="N408" s="4" t="s">
        <v>2638</v>
      </c>
      <c r="O408" s="4" t="s">
        <v>2628</v>
      </c>
      <c r="P408" s="4" t="s">
        <v>2602</v>
      </c>
      <c r="Q408" s="4" t="s">
        <v>2528</v>
      </c>
      <c r="R408" s="4"/>
      <c r="S408" s="4"/>
      <c r="T408" s="4" t="str">
        <f>HYPERLINK("http://slimages.macys.com/is/image/MCY/1079693 ")</f>
        <v xml:space="preserve">http://slimages.macys.com/is/image/MCY/1079693 </v>
      </c>
    </row>
    <row r="409" spans="1:20" ht="15" customHeight="1" x14ac:dyDescent="0.25">
      <c r="A409" s="4" t="s">
        <v>2489</v>
      </c>
      <c r="B409" s="2" t="s">
        <v>2487</v>
      </c>
      <c r="C409" s="2" t="s">
        <v>2488</v>
      </c>
      <c r="D409" s="5" t="s">
        <v>2490</v>
      </c>
      <c r="E409" s="4" t="s">
        <v>2491</v>
      </c>
      <c r="F409" s="6">
        <v>14210606</v>
      </c>
      <c r="G409" s="3">
        <v>14210606</v>
      </c>
      <c r="H409" s="7">
        <v>194135635333</v>
      </c>
      <c r="I409" s="8" t="s">
        <v>780</v>
      </c>
      <c r="J409" s="4">
        <v>1</v>
      </c>
      <c r="K409" s="9">
        <v>17.32</v>
      </c>
      <c r="L409" s="9">
        <v>17.32</v>
      </c>
      <c r="M409" s="4" t="s">
        <v>3131</v>
      </c>
      <c r="N409" s="4"/>
      <c r="O409" s="4" t="s">
        <v>2524</v>
      </c>
      <c r="P409" s="4" t="s">
        <v>2657</v>
      </c>
      <c r="Q409" s="4" t="s">
        <v>2658</v>
      </c>
      <c r="R409" s="4"/>
      <c r="S409" s="4"/>
      <c r="T409" s="4" t="str">
        <f>HYPERLINK("http://slimages.macys.com/is/image/MCY/20193509 ")</f>
        <v xml:space="preserve">http://slimages.macys.com/is/image/MCY/20193509 </v>
      </c>
    </row>
    <row r="410" spans="1:20" ht="15" customHeight="1" x14ac:dyDescent="0.25">
      <c r="A410" s="4" t="s">
        <v>2489</v>
      </c>
      <c r="B410" s="2" t="s">
        <v>2487</v>
      </c>
      <c r="C410" s="2" t="s">
        <v>2488</v>
      </c>
      <c r="D410" s="5" t="s">
        <v>2490</v>
      </c>
      <c r="E410" s="4" t="s">
        <v>2491</v>
      </c>
      <c r="F410" s="6">
        <v>14210606</v>
      </c>
      <c r="G410" s="3">
        <v>14210606</v>
      </c>
      <c r="H410" s="7">
        <v>196027095256</v>
      </c>
      <c r="I410" s="8" t="s">
        <v>393</v>
      </c>
      <c r="J410" s="4">
        <v>2</v>
      </c>
      <c r="K410" s="9">
        <v>23.99</v>
      </c>
      <c r="L410" s="9">
        <v>47.98</v>
      </c>
      <c r="M410" s="4" t="s">
        <v>347</v>
      </c>
      <c r="N410" s="4" t="s">
        <v>2544</v>
      </c>
      <c r="O410" s="4" t="s">
        <v>2861</v>
      </c>
      <c r="P410" s="4" t="s">
        <v>2569</v>
      </c>
      <c r="Q410" s="4" t="s">
        <v>2898</v>
      </c>
      <c r="R410" s="4"/>
      <c r="S410" s="4"/>
      <c r="T410" s="4" t="str">
        <f>HYPERLINK("http://slimages.macys.com/is/image/MCY/20750307 ")</f>
        <v xml:space="preserve">http://slimages.macys.com/is/image/MCY/20750307 </v>
      </c>
    </row>
    <row r="411" spans="1:20" ht="15" customHeight="1" x14ac:dyDescent="0.25">
      <c r="A411" s="4" t="s">
        <v>2489</v>
      </c>
      <c r="B411" s="2" t="s">
        <v>2487</v>
      </c>
      <c r="C411" s="2" t="s">
        <v>2488</v>
      </c>
      <c r="D411" s="5" t="s">
        <v>2490</v>
      </c>
      <c r="E411" s="4" t="s">
        <v>2491</v>
      </c>
      <c r="F411" s="6">
        <v>14210606</v>
      </c>
      <c r="G411" s="3">
        <v>14210606</v>
      </c>
      <c r="H411" s="7">
        <v>733004752131</v>
      </c>
      <c r="I411" s="8" t="s">
        <v>1490</v>
      </c>
      <c r="J411" s="4">
        <v>1</v>
      </c>
      <c r="K411" s="9">
        <v>15.99</v>
      </c>
      <c r="L411" s="9">
        <v>15.99</v>
      </c>
      <c r="M411" s="4" t="s">
        <v>3238</v>
      </c>
      <c r="N411" s="4" t="s">
        <v>2514</v>
      </c>
      <c r="O411" s="4" t="s">
        <v>2519</v>
      </c>
      <c r="P411" s="4" t="s">
        <v>2543</v>
      </c>
      <c r="Q411" s="4" t="s">
        <v>2528</v>
      </c>
      <c r="R411" s="4"/>
      <c r="S411" s="4"/>
      <c r="T411" s="4" t="str">
        <f>HYPERLINK("http://slimages.macys.com/is/image/MCY/20440819 ")</f>
        <v xml:space="preserve">http://slimages.macys.com/is/image/MCY/20440819 </v>
      </c>
    </row>
    <row r="412" spans="1:20" ht="15" customHeight="1" x14ac:dyDescent="0.25">
      <c r="A412" s="4" t="s">
        <v>2489</v>
      </c>
      <c r="B412" s="2" t="s">
        <v>2487</v>
      </c>
      <c r="C412" s="2" t="s">
        <v>2488</v>
      </c>
      <c r="D412" s="5" t="s">
        <v>2490</v>
      </c>
      <c r="E412" s="4" t="s">
        <v>2491</v>
      </c>
      <c r="F412" s="6">
        <v>14210606</v>
      </c>
      <c r="G412" s="3">
        <v>14210606</v>
      </c>
      <c r="H412" s="7">
        <v>733004072888</v>
      </c>
      <c r="I412" s="8" t="s">
        <v>1556</v>
      </c>
      <c r="J412" s="4">
        <v>1</v>
      </c>
      <c r="K412" s="9">
        <v>22.99</v>
      </c>
      <c r="L412" s="9">
        <v>22.99</v>
      </c>
      <c r="M412" s="4" t="s">
        <v>1553</v>
      </c>
      <c r="N412" s="4"/>
      <c r="O412" s="4" t="s">
        <v>2555</v>
      </c>
      <c r="P412" s="4" t="s">
        <v>2543</v>
      </c>
      <c r="Q412" s="4" t="s">
        <v>2528</v>
      </c>
      <c r="R412" s="4"/>
      <c r="S412" s="4"/>
      <c r="T412" s="4" t="str">
        <f>HYPERLINK("http://slimages.macys.com/is/image/MCY/19988425 ")</f>
        <v xml:space="preserve">http://slimages.macys.com/is/image/MCY/19988425 </v>
      </c>
    </row>
    <row r="413" spans="1:20" ht="15" customHeight="1" x14ac:dyDescent="0.25">
      <c r="A413" s="4" t="s">
        <v>2489</v>
      </c>
      <c r="B413" s="2" t="s">
        <v>2487</v>
      </c>
      <c r="C413" s="2" t="s">
        <v>2488</v>
      </c>
      <c r="D413" s="5" t="s">
        <v>2490</v>
      </c>
      <c r="E413" s="4" t="s">
        <v>2491</v>
      </c>
      <c r="F413" s="6">
        <v>14210606</v>
      </c>
      <c r="G413" s="3">
        <v>14210606</v>
      </c>
      <c r="H413" s="7">
        <v>733004085901</v>
      </c>
      <c r="I413" s="8" t="s">
        <v>2036</v>
      </c>
      <c r="J413" s="4">
        <v>1</v>
      </c>
      <c r="K413" s="9">
        <v>21.99</v>
      </c>
      <c r="L413" s="9">
        <v>21.99</v>
      </c>
      <c r="M413" s="4" t="s">
        <v>3337</v>
      </c>
      <c r="N413" s="4" t="s">
        <v>2523</v>
      </c>
      <c r="O413" s="4" t="s">
        <v>2671</v>
      </c>
      <c r="P413" s="4" t="s">
        <v>2543</v>
      </c>
      <c r="Q413" s="4" t="s">
        <v>2528</v>
      </c>
      <c r="R413" s="4"/>
      <c r="S413" s="4"/>
      <c r="T413" s="4" t="str">
        <f>HYPERLINK("http://slimages.macys.com/is/image/MCY/20084023 ")</f>
        <v xml:space="preserve">http://slimages.macys.com/is/image/MCY/20084023 </v>
      </c>
    </row>
    <row r="414" spans="1:20" ht="15" customHeight="1" x14ac:dyDescent="0.25">
      <c r="A414" s="4" t="s">
        <v>2489</v>
      </c>
      <c r="B414" s="2" t="s">
        <v>2487</v>
      </c>
      <c r="C414" s="2" t="s">
        <v>2488</v>
      </c>
      <c r="D414" s="5" t="s">
        <v>2490</v>
      </c>
      <c r="E414" s="4" t="s">
        <v>2491</v>
      </c>
      <c r="F414" s="6">
        <v>14210606</v>
      </c>
      <c r="G414" s="3">
        <v>14210606</v>
      </c>
      <c r="H414" s="7">
        <v>733004297632</v>
      </c>
      <c r="I414" s="8" t="s">
        <v>2138</v>
      </c>
      <c r="J414" s="4">
        <v>1</v>
      </c>
      <c r="K414" s="9">
        <v>27.99</v>
      </c>
      <c r="L414" s="9">
        <v>27.99</v>
      </c>
      <c r="M414" s="4" t="s">
        <v>2949</v>
      </c>
      <c r="N414" s="4" t="s">
        <v>2497</v>
      </c>
      <c r="O414" s="4" t="s">
        <v>2555</v>
      </c>
      <c r="P414" s="4" t="s">
        <v>2515</v>
      </c>
      <c r="Q414" s="4" t="s">
        <v>2672</v>
      </c>
      <c r="R414" s="4"/>
      <c r="S414" s="4"/>
      <c r="T414" s="4" t="str">
        <f>HYPERLINK("http://slimages.macys.com/is/image/MCY/20143278 ")</f>
        <v xml:space="preserve">http://slimages.macys.com/is/image/MCY/20143278 </v>
      </c>
    </row>
    <row r="415" spans="1:20" ht="15" customHeight="1" x14ac:dyDescent="0.25">
      <c r="A415" s="4" t="s">
        <v>2489</v>
      </c>
      <c r="B415" s="2" t="s">
        <v>2487</v>
      </c>
      <c r="C415" s="2" t="s">
        <v>2488</v>
      </c>
      <c r="D415" s="5" t="s">
        <v>2490</v>
      </c>
      <c r="E415" s="4" t="s">
        <v>2491</v>
      </c>
      <c r="F415" s="6">
        <v>14210606</v>
      </c>
      <c r="G415" s="3">
        <v>14210606</v>
      </c>
      <c r="H415" s="7">
        <v>733004752049</v>
      </c>
      <c r="I415" s="8" t="s">
        <v>1795</v>
      </c>
      <c r="J415" s="4">
        <v>1</v>
      </c>
      <c r="K415" s="9">
        <v>13.99</v>
      </c>
      <c r="L415" s="9">
        <v>13.99</v>
      </c>
      <c r="M415" s="4" t="s">
        <v>1796</v>
      </c>
      <c r="N415" s="4" t="s">
        <v>2523</v>
      </c>
      <c r="O415" s="4" t="s">
        <v>2671</v>
      </c>
      <c r="P415" s="4" t="s">
        <v>2543</v>
      </c>
      <c r="Q415" s="4" t="s">
        <v>2528</v>
      </c>
      <c r="R415" s="4"/>
      <c r="S415" s="4"/>
      <c r="T415" s="4" t="str">
        <f>HYPERLINK("http://slimages.macys.com/is/image/MCY/20440815 ")</f>
        <v xml:space="preserve">http://slimages.macys.com/is/image/MCY/20440815 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14278836</vt:lpstr>
      <vt:lpstr>14277629</vt:lpstr>
      <vt:lpstr>14271949</vt:lpstr>
      <vt:lpstr>14264488</vt:lpstr>
      <vt:lpstr>14236763</vt:lpstr>
      <vt:lpstr>14236745</vt:lpstr>
      <vt:lpstr>14221323</vt:lpstr>
      <vt:lpstr>14210606</vt:lpstr>
      <vt:lpstr>14203642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2023-01-11T17:49:05Z</cp:lastPrinted>
  <dcterms:created xsi:type="dcterms:W3CDTF">2023-01-10T22:18:32Z</dcterms:created>
  <dcterms:modified xsi:type="dcterms:W3CDTF">2023-04-06T08:31:58Z</dcterms:modified>
</cp:coreProperties>
</file>